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9855" activeTab="3"/>
  </bookViews>
  <sheets>
    <sheet name="phu phi 15" sheetId="1" r:id="rId1"/>
    <sheet name="Sheet3" sheetId="2" r:id="rId2"/>
    <sheet name="phu phi 20 (2)" sheetId="3" r:id="rId3"/>
    <sheet name="phu phi 20" sheetId="4" r:id="rId4"/>
  </sheets>
  <definedNames/>
  <calcPr fullCalcOnLoad="1"/>
</workbook>
</file>

<file path=xl/sharedStrings.xml><?xml version="1.0" encoding="utf-8"?>
<sst xmlns="http://schemas.openxmlformats.org/spreadsheetml/2006/main" count="262" uniqueCount="98">
  <si>
    <t>khu vực</t>
  </si>
  <si>
    <t>=</t>
  </si>
  <si>
    <t>Bắc kạn, Cao Bằng, Hà Giang, Tuyên Quang, Sơn La, Lai Châu, Điện Biên, Lào Cai, Yên Bái, Hòa Bình, Thái Nguyên, Lạng Sơn</t>
  </si>
  <si>
    <t>COD:</t>
  </si>
  <si>
    <t>V60</t>
  </si>
  <si>
    <t>Thanh Hóa, Nghệ An, Hà Tĩnh</t>
  </si>
  <si>
    <t>Đà Nẵng, Quảng Nam, Quảng Ngãi, Huế</t>
  </si>
  <si>
    <t>Khánh Hòa, Bình Định, Ninh Thuận, Phúc Yên</t>
  </si>
  <si>
    <t>Thành tiền</t>
  </si>
  <si>
    <t>30-36h</t>
  </si>
  <si>
    <t>36-48h</t>
  </si>
  <si>
    <t>48-52h</t>
  </si>
  <si>
    <t>54-58h</t>
  </si>
  <si>
    <t>60-66h</t>
  </si>
  <si>
    <t>Số kg đầu:</t>
  </si>
  <si>
    <t>vnd</t>
  </si>
  <si>
    <t>VCH-Thư</t>
  </si>
  <si>
    <t>Nội tỉnh</t>
  </si>
  <si>
    <t>Đến 100km</t>
  </si>
  <si>
    <t>Đến 300km</t>
  </si>
  <si>
    <t>Trên 300km</t>
  </si>
  <si>
    <t>0-50g</t>
  </si>
  <si>
    <t>500g tiếp theo</t>
  </si>
  <si>
    <t>&gt;50-100g</t>
  </si>
  <si>
    <t>&gt;100-250g</t>
  </si>
  <si>
    <t>&gt;250-500g</t>
  </si>
  <si>
    <t>&gt;500-1000g</t>
  </si>
  <si>
    <t>&gt;1500-2000g</t>
  </si>
  <si>
    <t>&gt;1000-1500g</t>
  </si>
  <si>
    <t>Kg đầu</t>
  </si>
  <si>
    <t>1kg tiếp theo</t>
  </si>
  <si>
    <t>VBK-1 Tuần</t>
  </si>
  <si>
    <r>
      <t>Hải Phòng, Hà Nội, Hải Dương, Hưng Yên, Ninh Bình, Quảng Ninh</t>
    </r>
    <r>
      <rPr>
        <sz val="10"/>
        <color indexed="12"/>
        <rFont val="Arial"/>
        <family val="2"/>
      </rPr>
      <t>,</t>
    </r>
    <r>
      <rPr>
        <sz val="10"/>
        <rFont val="Arial"/>
        <family val="0"/>
      </rPr>
      <t>Bắc Ninh, Bắc Giang, Vĩnh Phúc, Phú Thọ, Hà Nam, Nam Định, Thái Bình, Thanh Hóa, Nghệ An, Hà Tĩnh</t>
    </r>
  </si>
  <si>
    <r>
      <t>HCM</t>
    </r>
    <r>
      <rPr>
        <b/>
        <sz val="10"/>
        <color indexed="10"/>
        <rFont val="Arial"/>
        <family val="2"/>
      </rPr>
      <t>,</t>
    </r>
    <r>
      <rPr>
        <sz val="10"/>
        <rFont val="Arial"/>
        <family val="0"/>
      </rPr>
      <t xml:space="preserve"> Khánh Hòa, Bình Định, Phú Yên, Ninh Thuận, Bình Thuận, Đồng Nai, Bình Dương, Long An, Vũng Tàu, Tây Ninh</t>
    </r>
  </si>
  <si>
    <r>
      <t>Hà Nội, Hải Dương, Hưng Yên,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Hải Phòng, Bắc Ninh, Vĩnh Phúc</t>
    </r>
  </si>
  <si>
    <r>
      <t>HCM,</t>
    </r>
    <r>
      <rPr>
        <sz val="10"/>
        <rFont val="Arial"/>
        <family val="2"/>
      </rPr>
      <t xml:space="preserve"> Đồng Nai, Bình Dương, Vũng Tàu</t>
    </r>
  </si>
  <si>
    <t>&gt;2kg</t>
  </si>
  <si>
    <t>Trọng lượng(kg)</t>
  </si>
  <si>
    <t>Số thùng</t>
  </si>
  <si>
    <t>VBK (kg)</t>
  </si>
  <si>
    <t>V60 (kg)</t>
  </si>
  <si>
    <t>VCH (kg)</t>
  </si>
  <si>
    <t>Tổng Thể tích (cm3)</t>
  </si>
  <si>
    <t>Dài (cm)</t>
  </si>
  <si>
    <t>Rộng (cm)</t>
  </si>
  <si>
    <t>Cao (cm)</t>
  </si>
  <si>
    <r>
      <t>Nội tỉnh</t>
    </r>
    <r>
      <rPr>
        <b/>
        <sz val="10"/>
        <color indexed="12"/>
        <rFont val="Arial"/>
        <family val="2"/>
      </rPr>
      <t>(Hải Phòng)</t>
    </r>
  </si>
  <si>
    <r>
      <t>Đến 100km</t>
    </r>
    <r>
      <rPr>
        <b/>
        <sz val="10"/>
        <color indexed="12"/>
        <rFont val="Arial"/>
        <family val="2"/>
      </rPr>
      <t>(Hà Nội,Hải Dương)</t>
    </r>
  </si>
  <si>
    <r>
      <t>Trên 300km</t>
    </r>
    <r>
      <rPr>
        <b/>
        <sz val="10"/>
        <color indexed="12"/>
        <rFont val="Arial"/>
        <family val="2"/>
      </rPr>
      <t>(HCM)</t>
    </r>
  </si>
  <si>
    <r>
      <t xml:space="preserve">Chú ý:  </t>
    </r>
    <r>
      <rPr>
        <b/>
        <sz val="10"/>
        <rFont val="Arial"/>
        <family val="2"/>
      </rPr>
      <t>khi tính theo thể tích thì xóa ô trọng lượng</t>
    </r>
  </si>
  <si>
    <t>Làm tròn kg</t>
  </si>
  <si>
    <t>HÀ NỘI, Hưng Yên, Hải Dương, Hải Phòng, Bắc Ninh, Vĩnh Phúc</t>
  </si>
  <si>
    <t>Ninh Bình, Thanh Hóa, Nghệ An, Hà Tĩnh</t>
  </si>
  <si>
    <t>Huế, Đà Nẵng, Quảng Ngãi</t>
  </si>
  <si>
    <t>Khánh Hòa, Ninh Thuận, Phú Yên, Bình Định</t>
  </si>
  <si>
    <r>
      <t>HCM</t>
    </r>
    <r>
      <rPr>
        <b/>
        <sz val="10"/>
        <color indexed="10"/>
        <rFont val="Arial"/>
        <family val="2"/>
      </rPr>
      <t>,</t>
    </r>
    <r>
      <rPr>
        <sz val="10"/>
        <rFont val="Arial"/>
        <family val="0"/>
      </rPr>
      <t xml:space="preserve"> Đồng Nai, Bình Dương, Vũng Tàu, Long An, Tây Ninh</t>
    </r>
  </si>
  <si>
    <t>Cần Thơ, An Giang, Vĩnh Long, Sóc Trăng</t>
  </si>
  <si>
    <t>VBK,VVT (kg)</t>
  </si>
  <si>
    <t>Quảng Bình, Quảng Trị, Huế, Đà Nẵng, Quảng Nam, Quảng Ngãi</t>
  </si>
  <si>
    <t>Đắc Lắc, Đắc Nông, Gia Lai, Komtum, Lâm Đồng, Bình Phước</t>
  </si>
  <si>
    <t>Cần Thơ, An Giang, Sóc Trăng, Kiên Giang, Vĩnh Long, Tiền Giang, Bến Tre, Bạc Liêu, Cà Mau, Đồng Tháp, Hậu Giang, Trà Vinh</t>
  </si>
  <si>
    <t>VVT&gt;100kg</t>
  </si>
  <si>
    <t>2-3 ngày</t>
  </si>
  <si>
    <t>2-4 n</t>
  </si>
  <si>
    <t>3-5n</t>
  </si>
  <si>
    <t>4-6n</t>
  </si>
  <si>
    <t>5-7n</t>
  </si>
  <si>
    <t>2-3n</t>
  </si>
  <si>
    <t>da13</t>
  </si>
  <si>
    <t>da06</t>
  </si>
  <si>
    <t>da05</t>
  </si>
  <si>
    <t>da01</t>
  </si>
  <si>
    <t>VBK-1 Tuần - từ 100kg gửi VVT - không gửi vbk</t>
  </si>
  <si>
    <t>da3d7</t>
  </si>
  <si>
    <t>da03d7</t>
  </si>
  <si>
    <t>Phụ phí kết nối tuyến huyện VVT,VBK,V60</t>
  </si>
  <si>
    <t>tiền kg đầu</t>
  </si>
  <si>
    <t>kg tiếp theo</t>
  </si>
  <si>
    <t>thành tiền</t>
  </si>
  <si>
    <t>Số kg</t>
  </si>
  <si>
    <t>đến</t>
  </si>
  <si>
    <t>từ &gt;2 đến</t>
  </si>
  <si>
    <t>&gt;10 đến</t>
  </si>
  <si>
    <t>&gt;100 đến</t>
  </si>
  <si>
    <t>Đối với Tuyến huyện nhân thêm 1.2 =&gt; VTH</t>
  </si>
  <si>
    <t>Phụ phí xăng:</t>
  </si>
  <si>
    <t>VBK,VVT,V60</t>
  </si>
  <si>
    <t>Tuyến Huyện</t>
  </si>
  <si>
    <t>(Bao gồm phí xăng và VAT)</t>
  </si>
  <si>
    <t>Cước VBK,VVT,V60:</t>
  </si>
  <si>
    <t>Tổng số tiền</t>
  </si>
  <si>
    <t>Cước huyện</t>
  </si>
  <si>
    <t>Cước VCH</t>
  </si>
  <si>
    <t>Cước huyện 20%</t>
  </si>
  <si>
    <t>VCH huyện</t>
  </si>
  <si>
    <t>Tổng Kg quy đổi (E=F+G+H):</t>
  </si>
  <si>
    <t>phí COD</t>
  </si>
  <si>
    <r>
      <t xml:space="preserve">Chú ý:  </t>
    </r>
    <r>
      <rPr>
        <sz val="10"/>
        <rFont val="Arial"/>
        <family val="2"/>
      </rPr>
      <t>khi tính theo thể tích thì xóa ô trọng lượng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</si>
</sst>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0_);_(* \(#,##0.00\);_(* &quot;-&quot;???_);_(@_)"/>
    <numFmt numFmtId="168" formatCode="_(* #,##0.0_);_(* \(#,##0.0\);_(* &quot;-&quot;???_);_(@_)"/>
    <numFmt numFmtId="169" formatCode="_(* #,##0_);_(* \(#,##0\);_(* &quot;-&quot;???_);_(@_)"/>
    <numFmt numFmtId="170" formatCode="_(* #,##0.0_);_(* \(#,##0.0\);_(* &quot;-&quot;?_);_(@_)"/>
    <numFmt numFmtId="171" formatCode="_(* #,##0.000_);_(* \(#,##0.000\);_(* &quot;-&quot;??_);_(@_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"/>
      <color indexed="16"/>
      <name val="Arial"/>
      <family val="2"/>
    </font>
    <font>
      <sz val="12"/>
      <color indexed="10"/>
      <name val="Arial"/>
      <family val="2"/>
    </font>
    <font>
      <b/>
      <i/>
      <sz val="10"/>
      <color indexed="9"/>
      <name val="Arial"/>
      <family val="2"/>
    </font>
    <font>
      <sz val="10"/>
      <color indexed="10"/>
      <name val="Arial"/>
      <family val="2"/>
    </font>
    <font>
      <i/>
      <sz val="9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3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2" fillId="6" borderId="2" xfId="0" applyFont="1" applyFill="1" applyBorder="1" applyAlignment="1">
      <alignment horizontal="left"/>
    </xf>
    <xf numFmtId="165" fontId="3" fillId="6" borderId="2" xfId="0" applyNumberFormat="1" applyFont="1" applyFill="1" applyBorder="1" applyAlignment="1">
      <alignment/>
    </xf>
    <xf numFmtId="0" fontId="3" fillId="5" borderId="2" xfId="0" applyFont="1" applyFill="1" applyBorder="1" applyAlignment="1">
      <alignment horizontal="center"/>
    </xf>
    <xf numFmtId="165" fontId="3" fillId="6" borderId="2" xfId="15" applyNumberFormat="1" applyFont="1" applyFill="1" applyBorder="1" applyAlignment="1">
      <alignment/>
    </xf>
    <xf numFmtId="0" fontId="7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165" fontId="8" fillId="3" borderId="2" xfId="15" applyNumberFormat="1" applyFont="1" applyFill="1" applyBorder="1" applyAlignment="1">
      <alignment/>
    </xf>
    <xf numFmtId="0" fontId="2" fillId="4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165" fontId="9" fillId="3" borderId="1" xfId="15" applyNumberFormat="1" applyFont="1" applyFill="1" applyBorder="1" applyAlignment="1">
      <alignment/>
    </xf>
    <xf numFmtId="165" fontId="9" fillId="3" borderId="2" xfId="15" applyNumberFormat="1" applyFont="1" applyFill="1" applyBorder="1" applyAlignment="1">
      <alignment/>
    </xf>
    <xf numFmtId="0" fontId="9" fillId="3" borderId="2" xfId="0" applyFont="1" applyFill="1" applyBorder="1" applyAlignment="1">
      <alignment horizontal="center"/>
    </xf>
    <xf numFmtId="164" fontId="10" fillId="2" borderId="2" xfId="15" applyNumberFormat="1" applyFont="1" applyFill="1" applyBorder="1" applyAlignment="1">
      <alignment horizontal="center"/>
    </xf>
    <xf numFmtId="165" fontId="2" fillId="2" borderId="2" xfId="15" applyNumberFormat="1" applyFont="1" applyFill="1" applyBorder="1" applyAlignment="1">
      <alignment horizontal="center"/>
    </xf>
    <xf numFmtId="165" fontId="0" fillId="3" borderId="8" xfId="15" applyNumberFormat="1" applyFill="1" applyBorder="1" applyAlignment="1">
      <alignment/>
    </xf>
    <xf numFmtId="164" fontId="2" fillId="2" borderId="2" xfId="15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7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5" fontId="2" fillId="0" borderId="12" xfId="15" applyNumberFormat="1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2" fillId="7" borderId="11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165" fontId="3" fillId="6" borderId="14" xfId="15" applyNumberFormat="1" applyFont="1" applyFill="1" applyBorder="1" applyAlignment="1">
      <alignment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right"/>
    </xf>
    <xf numFmtId="0" fontId="9" fillId="3" borderId="21" xfId="0" applyFont="1" applyFill="1" applyBorder="1" applyAlignment="1">
      <alignment horizontal="right"/>
    </xf>
    <xf numFmtId="0" fontId="3" fillId="5" borderId="5" xfId="0" applyFont="1" applyFill="1" applyBorder="1" applyAlignment="1">
      <alignment horizontal="left"/>
    </xf>
    <xf numFmtId="0" fontId="12" fillId="3" borderId="0" xfId="0" applyFont="1" applyFill="1" applyAlignment="1">
      <alignment horizontal="right"/>
    </xf>
    <xf numFmtId="0" fontId="12" fillId="3" borderId="0" xfId="0" applyFont="1" applyFill="1" applyAlignment="1">
      <alignment horizontal="left"/>
    </xf>
    <xf numFmtId="165" fontId="0" fillId="0" borderId="0" xfId="0" applyNumberFormat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3" fontId="2" fillId="2" borderId="2" xfId="15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65" fontId="7" fillId="3" borderId="2" xfId="15" applyNumberFormat="1" applyFont="1" applyFill="1" applyBorder="1" applyAlignment="1">
      <alignment horizontal="right"/>
    </xf>
    <xf numFmtId="165" fontId="0" fillId="0" borderId="2" xfId="15" applyNumberFormat="1" applyFont="1" applyFill="1" applyBorder="1" applyAlignment="1">
      <alignment/>
    </xf>
    <xf numFmtId="165" fontId="0" fillId="6" borderId="2" xfId="0" applyNumberFormat="1" applyFill="1" applyBorder="1" applyAlignment="1">
      <alignment/>
    </xf>
    <xf numFmtId="43" fontId="2" fillId="2" borderId="10" xfId="0" applyNumberFormat="1" applyFont="1" applyFill="1" applyBorder="1" applyAlignment="1">
      <alignment/>
    </xf>
    <xf numFmtId="0" fontId="14" fillId="3" borderId="1" xfId="0" applyFont="1" applyFill="1" applyBorder="1" applyAlignment="1">
      <alignment horizontal="center"/>
    </xf>
    <xf numFmtId="165" fontId="14" fillId="3" borderId="1" xfId="15" applyNumberFormat="1" applyFont="1" applyFill="1" applyBorder="1" applyAlignment="1">
      <alignment/>
    </xf>
    <xf numFmtId="0" fontId="14" fillId="3" borderId="2" xfId="0" applyFont="1" applyFill="1" applyBorder="1" applyAlignment="1">
      <alignment horizontal="center"/>
    </xf>
    <xf numFmtId="165" fontId="14" fillId="3" borderId="2" xfId="15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 wrapText="1"/>
    </xf>
    <xf numFmtId="0" fontId="4" fillId="5" borderId="24" xfId="0" applyFont="1" applyFill="1" applyBorder="1" applyAlignment="1">
      <alignment horizontal="center" wrapText="1"/>
    </xf>
    <xf numFmtId="0" fontId="4" fillId="5" borderId="25" xfId="0" applyFont="1" applyFill="1" applyBorder="1" applyAlignment="1">
      <alignment horizontal="center" wrapText="1"/>
    </xf>
    <xf numFmtId="165" fontId="3" fillId="6" borderId="4" xfId="15" applyNumberFormat="1" applyFont="1" applyFill="1" applyBorder="1" applyAlignment="1">
      <alignment horizontal="center"/>
    </xf>
    <xf numFmtId="165" fontId="3" fillId="6" borderId="5" xfId="15" applyNumberFormat="1" applyFont="1" applyFill="1" applyBorder="1" applyAlignment="1">
      <alignment horizontal="center"/>
    </xf>
    <xf numFmtId="165" fontId="3" fillId="6" borderId="26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C5" sqref="C5"/>
    </sheetView>
  </sheetViews>
  <sheetFormatPr defaultColWidth="9.140625" defaultRowHeight="12.75"/>
  <cols>
    <col min="1" max="1" width="1.421875" style="0" customWidth="1"/>
    <col min="2" max="2" width="17.7109375" style="0" customWidth="1"/>
    <col min="3" max="3" width="28.57421875" style="0" customWidth="1"/>
    <col min="4" max="4" width="31.421875" style="0" customWidth="1"/>
    <col min="5" max="5" width="20.140625" style="0" customWidth="1"/>
    <col min="6" max="6" width="20.00390625" style="0" customWidth="1"/>
    <col min="7" max="7" width="21.7109375" style="0" customWidth="1"/>
    <col min="8" max="8" width="14.8515625" style="0" customWidth="1"/>
    <col min="9" max="9" width="1.7109375" style="0" customWidth="1"/>
    <col min="10" max="10" width="14.421875" style="0" bestFit="1" customWidth="1"/>
  </cols>
  <sheetData>
    <row r="1" spans="1:9" ht="13.5" thickBot="1">
      <c r="A1" s="2"/>
      <c r="B1" s="2"/>
      <c r="C1" s="2"/>
      <c r="D1" s="2"/>
      <c r="E1" s="2"/>
      <c r="F1" s="2"/>
      <c r="G1" s="2"/>
      <c r="H1" s="2"/>
      <c r="I1" s="2"/>
    </row>
    <row r="2" spans="1:9" ht="14.25" thickBot="1" thickTop="1">
      <c r="A2" s="2"/>
      <c r="B2" s="79" t="s">
        <v>49</v>
      </c>
      <c r="C2" s="80"/>
      <c r="D2" s="41" t="s">
        <v>43</v>
      </c>
      <c r="E2" s="45">
        <v>37</v>
      </c>
      <c r="F2" s="37" t="s">
        <v>42</v>
      </c>
      <c r="G2" s="32">
        <f>E2*E3*E4*E5</f>
        <v>466200</v>
      </c>
      <c r="H2" s="31" t="s">
        <v>50</v>
      </c>
      <c r="I2" s="2"/>
    </row>
    <row r="3" spans="1:9" ht="13.5" thickTop="1">
      <c r="A3" s="2"/>
      <c r="B3" s="35" t="s">
        <v>37</v>
      </c>
      <c r="C3" s="39">
        <v>5</v>
      </c>
      <c r="D3" s="42" t="s">
        <v>44</v>
      </c>
      <c r="E3" s="46">
        <v>20</v>
      </c>
      <c r="F3" s="37" t="s">
        <v>39</v>
      </c>
      <c r="G3" s="34">
        <f>IF($C$3&gt;0,$C$3,$G$2/3000)</f>
        <v>5</v>
      </c>
      <c r="H3" s="31">
        <f>INT(G3)+IF(G3=INT(G3),0,1)</f>
        <v>5</v>
      </c>
      <c r="I3" s="2"/>
    </row>
    <row r="4" spans="1:9" ht="13.5" thickBot="1">
      <c r="A4" s="2"/>
      <c r="B4" s="36" t="s">
        <v>3</v>
      </c>
      <c r="C4" s="40">
        <v>660000</v>
      </c>
      <c r="D4" s="42" t="s">
        <v>45</v>
      </c>
      <c r="E4" s="46">
        <v>21</v>
      </c>
      <c r="F4" s="37" t="s">
        <v>40</v>
      </c>
      <c r="G4" s="34">
        <f>IF($C$3&gt;0,$C$3,$G$2/4500)</f>
        <v>5</v>
      </c>
      <c r="H4" s="31">
        <f>INT(G4)+IF(G4=INT(G4),0,1)</f>
        <v>5</v>
      </c>
      <c r="I4" s="2"/>
    </row>
    <row r="5" spans="1:9" ht="14.25" thickBot="1" thickTop="1">
      <c r="A5" s="2"/>
      <c r="B5" s="1"/>
      <c r="C5" s="38"/>
      <c r="D5" s="43" t="s">
        <v>38</v>
      </c>
      <c r="E5" s="47">
        <v>30</v>
      </c>
      <c r="F5" s="37" t="s">
        <v>41</v>
      </c>
      <c r="G5" s="34">
        <f>IF($C$3&gt;0,$C$3,$G$2/6000)</f>
        <v>5</v>
      </c>
      <c r="H5" s="31">
        <f>INT(G5)+IF(G5=INT(G5),0,IF(G5-INT(G5)&lt;=0.5,0.5,1))</f>
        <v>5</v>
      </c>
      <c r="I5" s="2"/>
    </row>
    <row r="6" spans="1:9" ht="13.5" thickTop="1">
      <c r="A6" s="2"/>
      <c r="B6" s="14"/>
      <c r="C6" s="15"/>
      <c r="D6" s="15"/>
      <c r="E6" s="44"/>
      <c r="F6" s="15"/>
      <c r="G6" s="15"/>
      <c r="H6" s="16"/>
      <c r="I6" s="2"/>
    </row>
    <row r="7" spans="1:9" ht="20.25">
      <c r="A7" s="2"/>
      <c r="B7" s="10" t="s">
        <v>31</v>
      </c>
      <c r="C7" s="11"/>
      <c r="D7" s="11"/>
      <c r="E7" s="11"/>
      <c r="F7" s="11"/>
      <c r="G7" s="11"/>
      <c r="H7" s="12"/>
      <c r="I7" s="2"/>
    </row>
    <row r="8" spans="1:9" ht="63.75" customHeight="1">
      <c r="A8" s="2"/>
      <c r="B8" s="7"/>
      <c r="C8" s="8" t="s">
        <v>2</v>
      </c>
      <c r="D8" s="9" t="s">
        <v>32</v>
      </c>
      <c r="E8" s="7"/>
      <c r="F8" s="7"/>
      <c r="G8" s="9" t="s">
        <v>33</v>
      </c>
      <c r="H8" s="7"/>
      <c r="I8" s="2"/>
    </row>
    <row r="9" spans="1:9" ht="12.75">
      <c r="A9" s="2"/>
      <c r="B9" s="22" t="s">
        <v>8</v>
      </c>
      <c r="C9" s="22">
        <f aca="true" t="shared" si="0" ref="C9:H9">IF($H$3&lt;=3,0,($H$3-$D$10)*C12*1.15*1.1)+$F$10*1.15*1.1+$C$4*0.008*1.1</f>
        <v>63745.00000000001</v>
      </c>
      <c r="D9" s="22">
        <f t="shared" si="0"/>
        <v>60456.00000000001</v>
      </c>
      <c r="E9" s="22">
        <f t="shared" si="0"/>
        <v>63492.00000000001</v>
      </c>
      <c r="F9" s="22">
        <f t="shared" si="0"/>
        <v>68046.00000000001</v>
      </c>
      <c r="G9" s="22">
        <f t="shared" si="0"/>
        <v>65010.00000000001</v>
      </c>
      <c r="H9" s="22">
        <f t="shared" si="0"/>
        <v>66275.00000000001</v>
      </c>
      <c r="I9" s="2"/>
    </row>
    <row r="10" spans="1:9" ht="12.75">
      <c r="A10" s="2"/>
      <c r="B10" s="27"/>
      <c r="C10" s="27" t="s">
        <v>14</v>
      </c>
      <c r="D10" s="27">
        <v>3</v>
      </c>
      <c r="E10" s="27" t="s">
        <v>1</v>
      </c>
      <c r="F10" s="28">
        <v>38600</v>
      </c>
      <c r="G10" s="28" t="s">
        <v>15</v>
      </c>
      <c r="H10" s="28"/>
      <c r="I10" s="2"/>
    </row>
    <row r="11" spans="1:9" ht="12.75">
      <c r="A11" s="2"/>
      <c r="B11" s="30" t="s">
        <v>0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2"/>
    </row>
    <row r="12" spans="1:9" ht="12.75">
      <c r="A12" s="2"/>
      <c r="B12" s="30" t="s">
        <v>30</v>
      </c>
      <c r="C12" s="29">
        <v>3600</v>
      </c>
      <c r="D12" s="29">
        <v>2300</v>
      </c>
      <c r="E12" s="29">
        <v>3500</v>
      </c>
      <c r="F12" s="29">
        <v>5300</v>
      </c>
      <c r="G12" s="29">
        <v>4100</v>
      </c>
      <c r="H12" s="29">
        <v>4600</v>
      </c>
      <c r="I12" s="2"/>
    </row>
    <row r="13" spans="1:9" ht="20.25">
      <c r="A13" s="2"/>
      <c r="B13" s="10" t="s">
        <v>4</v>
      </c>
      <c r="C13" s="13" t="s">
        <v>9</v>
      </c>
      <c r="D13" s="13" t="s">
        <v>10</v>
      </c>
      <c r="E13" s="13" t="s">
        <v>11</v>
      </c>
      <c r="F13" s="13" t="s">
        <v>12</v>
      </c>
      <c r="G13" s="13" t="s">
        <v>13</v>
      </c>
      <c r="H13" s="12"/>
      <c r="I13" s="2"/>
    </row>
    <row r="14" spans="1:9" ht="38.25">
      <c r="A14" s="2"/>
      <c r="B14" s="3"/>
      <c r="C14" s="6" t="s">
        <v>34</v>
      </c>
      <c r="D14" s="5" t="s">
        <v>5</v>
      </c>
      <c r="E14" s="5" t="s">
        <v>6</v>
      </c>
      <c r="F14" s="5" t="s">
        <v>7</v>
      </c>
      <c r="G14" s="6" t="s">
        <v>35</v>
      </c>
      <c r="H14" s="4"/>
      <c r="I14" s="2"/>
    </row>
    <row r="15" spans="1:9" ht="12.75">
      <c r="A15" s="2"/>
      <c r="B15" s="22" t="s">
        <v>8</v>
      </c>
      <c r="C15" s="22">
        <f>IF($H$4&lt;=5,0,($H$4-$D$16)*C18*1.15*1.1)+$F$16*1.15*1.1+$C$4*0.008*1.1</f>
        <v>104478.00000000001</v>
      </c>
      <c r="D15" s="22">
        <f>IF($H$4&lt;=5,0,($H$4-$D$16)*D18*1.15*1.1)+$F$16*1.15*1.1+$C$4*0.008*1.1</f>
        <v>104478.00000000001</v>
      </c>
      <c r="E15" s="22">
        <f>IF($H$4&lt;=5,0,($H$4-$D$16)*E18*1.15*1.1)+$F$16*1.15*1.1+$C$4*0.008*1.1</f>
        <v>104478.00000000001</v>
      </c>
      <c r="F15" s="22">
        <f>IF($H$4&lt;=5,0,($H$4-$D$16)*F18*1.15*1.1)+$F$16*1.15*1.1+$C$4*0.008*1.1</f>
        <v>104478.00000000001</v>
      </c>
      <c r="G15" s="22">
        <f>IF($H$4&lt;=5,0,($H$4-$D$16)*G18*1.15*1.1)+$F$16*1.15*1.1+$C$4*0.008*1.1</f>
        <v>104478.00000000001</v>
      </c>
      <c r="H15" s="22"/>
      <c r="I15" s="2"/>
    </row>
    <row r="16" spans="1:9" ht="12.75">
      <c r="A16" s="2"/>
      <c r="B16" s="27"/>
      <c r="C16" s="27" t="s">
        <v>14</v>
      </c>
      <c r="D16" s="27">
        <v>5</v>
      </c>
      <c r="E16" s="27" t="s">
        <v>1</v>
      </c>
      <c r="F16" s="28">
        <v>78000</v>
      </c>
      <c r="G16" s="28" t="s">
        <v>15</v>
      </c>
      <c r="H16" s="28"/>
      <c r="I16" s="2"/>
    </row>
    <row r="17" spans="1:9" ht="12.75">
      <c r="A17" s="2"/>
      <c r="B17" s="30" t="s">
        <v>0</v>
      </c>
      <c r="C17" s="30">
        <v>1</v>
      </c>
      <c r="D17" s="30">
        <v>2</v>
      </c>
      <c r="E17" s="30">
        <v>3</v>
      </c>
      <c r="F17" s="30">
        <v>4</v>
      </c>
      <c r="G17" s="30">
        <v>5</v>
      </c>
      <c r="H17" s="30"/>
      <c r="I17" s="2"/>
    </row>
    <row r="18" spans="1:9" ht="12.75">
      <c r="A18" s="2"/>
      <c r="B18" s="30" t="s">
        <v>30</v>
      </c>
      <c r="C18" s="29">
        <v>4000</v>
      </c>
      <c r="D18" s="29">
        <v>5500</v>
      </c>
      <c r="E18" s="29">
        <v>5800</v>
      </c>
      <c r="F18" s="29">
        <v>6200</v>
      </c>
      <c r="G18" s="29">
        <v>6500</v>
      </c>
      <c r="H18" s="29"/>
      <c r="I18" s="2"/>
    </row>
    <row r="19" spans="1:9" ht="20.25">
      <c r="A19" s="2"/>
      <c r="B19" s="10" t="s">
        <v>16</v>
      </c>
      <c r="C19" s="13"/>
      <c r="D19" s="13"/>
      <c r="E19" s="13"/>
      <c r="F19" s="21"/>
      <c r="G19" s="33"/>
      <c r="H19" s="33"/>
      <c r="I19" s="2"/>
    </row>
    <row r="20" spans="1:9" ht="12.75">
      <c r="A20" s="2"/>
      <c r="B20" s="3"/>
      <c r="C20" s="26" t="s">
        <v>46</v>
      </c>
      <c r="D20" s="26" t="s">
        <v>47</v>
      </c>
      <c r="E20" s="26" t="s">
        <v>19</v>
      </c>
      <c r="F20" s="26" t="s">
        <v>48</v>
      </c>
      <c r="G20" s="33"/>
      <c r="H20" s="33"/>
      <c r="I20" s="2"/>
    </row>
    <row r="21" spans="1:9" ht="12.75">
      <c r="A21" s="2"/>
      <c r="B21" s="19" t="s">
        <v>21</v>
      </c>
      <c r="C21" s="20">
        <f aca="true" t="shared" si="1" ref="C21:F27">C30*1.15*1.1+$C$4*0.008*1.1</f>
        <v>15928</v>
      </c>
      <c r="D21" s="20">
        <f t="shared" si="1"/>
        <v>15928</v>
      </c>
      <c r="E21" s="20">
        <f t="shared" si="1"/>
        <v>16560.5</v>
      </c>
      <c r="F21" s="20">
        <f t="shared" si="1"/>
        <v>18458.000000000004</v>
      </c>
      <c r="G21" s="33"/>
      <c r="H21" s="33"/>
      <c r="I21" s="2"/>
    </row>
    <row r="22" spans="1:9" ht="12.75">
      <c r="A22" s="2"/>
      <c r="B22" s="19" t="s">
        <v>23</v>
      </c>
      <c r="C22" s="20">
        <f t="shared" si="1"/>
        <v>15928</v>
      </c>
      <c r="D22" s="20">
        <f t="shared" si="1"/>
        <v>20735</v>
      </c>
      <c r="E22" s="20">
        <f t="shared" si="1"/>
        <v>21620.5</v>
      </c>
      <c r="F22" s="20">
        <f t="shared" si="1"/>
        <v>23518</v>
      </c>
      <c r="G22" s="33"/>
      <c r="H22" s="33"/>
      <c r="I22" s="2"/>
    </row>
    <row r="23" spans="1:9" ht="12.75">
      <c r="A23" s="2"/>
      <c r="B23" s="19" t="s">
        <v>24</v>
      </c>
      <c r="C23" s="20">
        <f t="shared" si="1"/>
        <v>18458.000000000004</v>
      </c>
      <c r="D23" s="20">
        <f t="shared" si="1"/>
        <v>26680.5</v>
      </c>
      <c r="E23" s="20">
        <f t="shared" si="1"/>
        <v>28831.000000000004</v>
      </c>
      <c r="F23" s="20">
        <f t="shared" si="1"/>
        <v>34903</v>
      </c>
      <c r="G23" s="33"/>
      <c r="H23" s="33"/>
      <c r="I23" s="2"/>
    </row>
    <row r="24" spans="1:9" ht="12.75">
      <c r="A24" s="2"/>
      <c r="B24" s="19" t="s">
        <v>25</v>
      </c>
      <c r="C24" s="20">
        <f t="shared" si="1"/>
        <v>21620.5</v>
      </c>
      <c r="D24" s="20">
        <f t="shared" si="1"/>
        <v>36041.5</v>
      </c>
      <c r="E24" s="20">
        <f t="shared" si="1"/>
        <v>37812.5</v>
      </c>
      <c r="F24" s="20">
        <f t="shared" si="1"/>
        <v>43631.5</v>
      </c>
      <c r="G24" s="33"/>
      <c r="H24" s="33"/>
      <c r="I24" s="2"/>
    </row>
    <row r="25" spans="1:9" ht="12.75">
      <c r="A25" s="2"/>
      <c r="B25" s="19" t="s">
        <v>26</v>
      </c>
      <c r="C25" s="20">
        <f t="shared" si="1"/>
        <v>26048</v>
      </c>
      <c r="D25" s="20">
        <f t="shared" si="1"/>
        <v>47806</v>
      </c>
      <c r="E25" s="20">
        <f t="shared" si="1"/>
        <v>48818</v>
      </c>
      <c r="F25" s="20">
        <f t="shared" si="1"/>
        <v>61088.5</v>
      </c>
      <c r="G25" s="33"/>
      <c r="H25" s="33"/>
      <c r="I25" s="2"/>
    </row>
    <row r="26" spans="1:9" ht="12.75">
      <c r="A26" s="2"/>
      <c r="B26" s="19" t="s">
        <v>28</v>
      </c>
      <c r="C26" s="20">
        <f t="shared" si="1"/>
        <v>29843.000000000004</v>
      </c>
      <c r="D26" s="20">
        <f t="shared" si="1"/>
        <v>56408.00000000001</v>
      </c>
      <c r="E26" s="20">
        <f t="shared" si="1"/>
        <v>58684.99999999999</v>
      </c>
      <c r="F26" s="20">
        <f t="shared" si="1"/>
        <v>77154</v>
      </c>
      <c r="G26" s="33"/>
      <c r="H26" s="33"/>
      <c r="I26" s="2"/>
    </row>
    <row r="27" spans="1:9" ht="12.75">
      <c r="A27" s="2"/>
      <c r="B27" s="19" t="s">
        <v>27</v>
      </c>
      <c r="C27" s="20">
        <f t="shared" si="1"/>
        <v>32372.999999999996</v>
      </c>
      <c r="D27" s="20">
        <f t="shared" si="1"/>
        <v>67034</v>
      </c>
      <c r="E27" s="20">
        <f t="shared" si="1"/>
        <v>71208.5</v>
      </c>
      <c r="F27" s="20">
        <f t="shared" si="1"/>
        <v>92460.5</v>
      </c>
      <c r="G27" s="33"/>
      <c r="H27" s="33"/>
      <c r="I27" s="2"/>
    </row>
    <row r="28" spans="1:9" ht="12.75">
      <c r="A28" s="2"/>
      <c r="B28" s="19" t="s">
        <v>36</v>
      </c>
      <c r="C28" s="22">
        <f>IF($H$5&lt;=2,0,(INT($H$5-2)*2+IF(ROUND($H$5-INT($H$5),0)=0,1,2))*C37*1.15*1.1+C27+$C$4*0.008*1.1)</f>
        <v>53234.5</v>
      </c>
      <c r="D28" s="22">
        <f>IF($H$5&lt;=2,0,(INT($H$5-2)*2+IF(ROUND($H$5-INT($H$5),0)=0,1,2))*D37*1.15*1.1+D27+$C$4*0.008*1.1)</f>
        <v>103834.5</v>
      </c>
      <c r="E28" s="22">
        <f>IF($H$5&lt;=2,0,(INT($H$5-2)*2+IF(ROUND($H$5-INT($H$5),0)=0,1,2))*E37*1.15*1.1+E27+$C$4*0.008*1.1)</f>
        <v>115093</v>
      </c>
      <c r="F28" s="22">
        <f>IF($H$5&lt;=2,0,(INT($H$5-2)*2+IF($H$5=INT($H$5),0,IF($H$5-INT($H$5)&gt;0.5,2,1)))*F37*1.15*1.1+F27+$C$4*0.008*1.1)</f>
        <v>162783.5</v>
      </c>
      <c r="G28" s="33"/>
      <c r="H28" s="33"/>
      <c r="I28" s="2"/>
    </row>
    <row r="29" spans="1:9" ht="12.75">
      <c r="A29" s="2"/>
      <c r="B29" s="23" t="s">
        <v>29</v>
      </c>
      <c r="C29" s="23" t="s">
        <v>17</v>
      </c>
      <c r="D29" s="23" t="s">
        <v>18</v>
      </c>
      <c r="E29" s="23" t="s">
        <v>19</v>
      </c>
      <c r="F29" s="23" t="s">
        <v>20</v>
      </c>
      <c r="G29" s="33"/>
      <c r="H29" s="33"/>
      <c r="I29" s="2"/>
    </row>
    <row r="30" spans="1:9" ht="12.75">
      <c r="A30" s="2"/>
      <c r="B30" s="24" t="s">
        <v>21</v>
      </c>
      <c r="C30" s="25">
        <v>8000</v>
      </c>
      <c r="D30" s="25">
        <v>8000</v>
      </c>
      <c r="E30" s="25">
        <v>8500</v>
      </c>
      <c r="F30" s="25">
        <v>10000</v>
      </c>
      <c r="G30" s="33"/>
      <c r="H30" s="33"/>
      <c r="I30" s="2"/>
    </row>
    <row r="31" spans="1:9" ht="12.75">
      <c r="A31" s="2"/>
      <c r="B31" s="24" t="s">
        <v>23</v>
      </c>
      <c r="C31" s="25">
        <v>8000</v>
      </c>
      <c r="D31" s="25">
        <v>11800</v>
      </c>
      <c r="E31" s="25">
        <v>12500</v>
      </c>
      <c r="F31" s="25">
        <v>14000</v>
      </c>
      <c r="G31" s="33"/>
      <c r="H31" s="33"/>
      <c r="I31" s="2"/>
    </row>
    <row r="32" spans="1:9" ht="12.75">
      <c r="A32" s="2"/>
      <c r="B32" s="24" t="s">
        <v>24</v>
      </c>
      <c r="C32" s="25">
        <v>10000</v>
      </c>
      <c r="D32" s="25">
        <v>16500</v>
      </c>
      <c r="E32" s="25">
        <v>18200</v>
      </c>
      <c r="F32" s="25">
        <v>23000</v>
      </c>
      <c r="G32" s="33"/>
      <c r="H32" s="33"/>
      <c r="I32" s="2"/>
    </row>
    <row r="33" spans="1:9" ht="12.75">
      <c r="A33" s="2"/>
      <c r="B33" s="24" t="s">
        <v>25</v>
      </c>
      <c r="C33" s="25">
        <v>12500</v>
      </c>
      <c r="D33" s="25">
        <v>23900</v>
      </c>
      <c r="E33" s="25">
        <v>25300</v>
      </c>
      <c r="F33" s="25">
        <v>29900</v>
      </c>
      <c r="G33" s="33"/>
      <c r="H33" s="33"/>
      <c r="I33" s="2"/>
    </row>
    <row r="34" spans="1:9" ht="12.75">
      <c r="A34" s="2"/>
      <c r="B34" s="24" t="s">
        <v>26</v>
      </c>
      <c r="C34" s="25">
        <v>16000</v>
      </c>
      <c r="D34" s="25">
        <v>33200</v>
      </c>
      <c r="E34" s="25">
        <v>34000</v>
      </c>
      <c r="F34" s="25">
        <v>43700</v>
      </c>
      <c r="G34" s="33"/>
      <c r="H34" s="33"/>
      <c r="I34" s="2"/>
    </row>
    <row r="35" spans="1:9" ht="12.75">
      <c r="A35" s="2"/>
      <c r="B35" s="24" t="s">
        <v>28</v>
      </c>
      <c r="C35" s="25">
        <v>19000</v>
      </c>
      <c r="D35" s="25">
        <v>40000</v>
      </c>
      <c r="E35" s="25">
        <v>41800</v>
      </c>
      <c r="F35" s="25">
        <v>56400</v>
      </c>
      <c r="G35" s="33"/>
      <c r="H35" s="33"/>
      <c r="I35" s="2"/>
    </row>
    <row r="36" spans="1:9" ht="12.75">
      <c r="A36" s="2"/>
      <c r="B36" s="24" t="s">
        <v>27</v>
      </c>
      <c r="C36" s="25">
        <v>21000</v>
      </c>
      <c r="D36" s="25">
        <v>48400</v>
      </c>
      <c r="E36" s="25">
        <v>51700</v>
      </c>
      <c r="F36" s="25">
        <v>68500</v>
      </c>
      <c r="G36" s="33"/>
      <c r="H36" s="33"/>
      <c r="I36" s="2"/>
    </row>
    <row r="37" spans="1:9" ht="12.75">
      <c r="A37" s="2"/>
      <c r="B37" s="24" t="s">
        <v>22</v>
      </c>
      <c r="C37" s="25">
        <v>1700</v>
      </c>
      <c r="D37" s="25">
        <v>3500</v>
      </c>
      <c r="E37" s="25">
        <v>4300</v>
      </c>
      <c r="F37" s="25">
        <v>8500</v>
      </c>
      <c r="G37" s="33"/>
      <c r="H37" s="33"/>
      <c r="I37" s="2"/>
    </row>
    <row r="38" spans="1:9" ht="12.75">
      <c r="A38" s="2"/>
      <c r="B38" s="17"/>
      <c r="C38" s="17"/>
      <c r="D38" s="17"/>
      <c r="E38" s="17"/>
      <c r="F38" s="17"/>
      <c r="G38" s="33"/>
      <c r="H38" s="33"/>
      <c r="I38" s="2"/>
    </row>
    <row r="39" spans="3:6" ht="12.75">
      <c r="C39" s="18"/>
      <c r="D39" s="18"/>
      <c r="E39" s="18"/>
      <c r="F39" s="18"/>
    </row>
  </sheetData>
  <mergeCells count="1">
    <mergeCell ref="B2:C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4" sqref="A4"/>
    </sheetView>
  </sheetViews>
  <sheetFormatPr defaultColWidth="9.140625" defaultRowHeight="12.75"/>
  <sheetData>
    <row r="1" ht="12.75">
      <c r="A1">
        <v>24</v>
      </c>
    </row>
    <row r="2" ht="12.75">
      <c r="A2">
        <f>A1*2</f>
        <v>48</v>
      </c>
    </row>
    <row r="3" ht="12.75">
      <c r="A3">
        <f>A1*3</f>
        <v>72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G5" sqref="G5"/>
    </sheetView>
  </sheetViews>
  <sheetFormatPr defaultColWidth="9.140625" defaultRowHeight="12.75"/>
  <cols>
    <col min="1" max="1" width="1.421875" style="0" customWidth="1"/>
    <col min="2" max="2" width="17.7109375" style="0" customWidth="1"/>
    <col min="3" max="3" width="28.57421875" style="0" customWidth="1"/>
    <col min="4" max="4" width="31.421875" style="0" customWidth="1"/>
    <col min="5" max="5" width="20.140625" style="0" customWidth="1"/>
    <col min="6" max="6" width="20.00390625" style="0" customWidth="1"/>
    <col min="7" max="7" width="21.7109375" style="0" customWidth="1"/>
    <col min="8" max="8" width="14.8515625" style="0" customWidth="1"/>
    <col min="9" max="9" width="1.7109375" style="0" customWidth="1"/>
    <col min="10" max="13" width="5.00390625" style="49" bestFit="1" customWidth="1"/>
  </cols>
  <sheetData>
    <row r="1" spans="6:8" ht="12.75">
      <c r="F1">
        <v>54120</v>
      </c>
      <c r="G1">
        <v>55800</v>
      </c>
      <c r="H1">
        <f>F1+G1</f>
        <v>109920</v>
      </c>
    </row>
    <row r="2" spans="1:14" ht="13.5" thickBot="1">
      <c r="A2" s="2"/>
      <c r="B2" s="2"/>
      <c r="C2" s="2"/>
      <c r="D2" s="2"/>
      <c r="E2" s="2"/>
      <c r="F2" s="2"/>
      <c r="G2" s="2"/>
      <c r="H2" s="2"/>
      <c r="I2" s="2"/>
      <c r="J2" s="50" t="s">
        <v>68</v>
      </c>
      <c r="K2" s="50" t="s">
        <v>69</v>
      </c>
      <c r="L2" s="50" t="s">
        <v>70</v>
      </c>
      <c r="M2" s="50" t="s">
        <v>71</v>
      </c>
      <c r="N2" s="50" t="s">
        <v>73</v>
      </c>
    </row>
    <row r="3" spans="1:14" ht="14.25" thickBot="1" thickTop="1">
      <c r="A3" s="2"/>
      <c r="B3" s="79" t="s">
        <v>49</v>
      </c>
      <c r="C3" s="80"/>
      <c r="D3" s="41" t="s">
        <v>43</v>
      </c>
      <c r="E3" s="45">
        <v>20</v>
      </c>
      <c r="F3" s="37" t="s">
        <v>42</v>
      </c>
      <c r="G3" s="32">
        <f>F1+G1</f>
        <v>109920</v>
      </c>
      <c r="H3" s="31" t="s">
        <v>50</v>
      </c>
      <c r="I3" s="2"/>
      <c r="J3" s="51">
        <v>32</v>
      </c>
      <c r="K3" s="50">
        <v>39</v>
      </c>
      <c r="L3" s="50">
        <v>60</v>
      </c>
      <c r="M3" s="50">
        <v>20</v>
      </c>
      <c r="N3" s="50">
        <v>48</v>
      </c>
    </row>
    <row r="4" spans="1:14" ht="13.5" thickTop="1">
      <c r="A4" s="2"/>
      <c r="B4" s="35"/>
      <c r="C4" s="39"/>
      <c r="D4" s="42" t="s">
        <v>44</v>
      </c>
      <c r="E4" s="46">
        <v>30</v>
      </c>
      <c r="F4" s="37" t="s">
        <v>57</v>
      </c>
      <c r="G4" s="34">
        <f>IF($C$4&gt;0,$C$4,$G$3/3000)</f>
        <v>36.64</v>
      </c>
      <c r="H4" s="31">
        <f>INT(G4)+IF(G4=INT(G4),0,1)</f>
        <v>37</v>
      </c>
      <c r="I4" s="2"/>
      <c r="J4" s="51">
        <v>20</v>
      </c>
      <c r="K4" s="50">
        <v>20</v>
      </c>
      <c r="L4" s="50">
        <v>41</v>
      </c>
      <c r="M4" s="50">
        <v>30</v>
      </c>
      <c r="N4" s="50">
        <v>31</v>
      </c>
    </row>
    <row r="5" spans="1:14" ht="13.5" thickBot="1">
      <c r="A5" s="2"/>
      <c r="B5" s="36" t="s">
        <v>3</v>
      </c>
      <c r="C5" s="40"/>
      <c r="D5" s="42" t="s">
        <v>45</v>
      </c>
      <c r="E5" s="46">
        <v>35</v>
      </c>
      <c r="F5" s="37" t="s">
        <v>40</v>
      </c>
      <c r="G5" s="34">
        <f>IF($C$4&gt;0,$C$4,$G$3/4500)</f>
        <v>24.426666666666666</v>
      </c>
      <c r="H5" s="31">
        <f>INT(G5)+IF(G5=INT(G5),0,1)</f>
        <v>25</v>
      </c>
      <c r="I5" s="2"/>
      <c r="J5" s="51">
        <v>24</v>
      </c>
      <c r="K5" s="50">
        <v>22</v>
      </c>
      <c r="L5" s="50">
        <v>22</v>
      </c>
      <c r="M5" s="50">
        <v>35</v>
      </c>
      <c r="N5" s="50">
        <v>11</v>
      </c>
    </row>
    <row r="6" spans="1:9" ht="14.25" thickBot="1" thickTop="1">
      <c r="A6" s="2"/>
      <c r="B6" s="1"/>
      <c r="C6" s="38"/>
      <c r="D6" s="43" t="s">
        <v>38</v>
      </c>
      <c r="E6" s="47">
        <v>5</v>
      </c>
      <c r="F6" s="37" t="s">
        <v>41</v>
      </c>
      <c r="G6" s="34">
        <f>IF($C$4&gt;0,$C$4,$G$3/6000)</f>
        <v>18.32</v>
      </c>
      <c r="H6" s="31">
        <f>INT(G6)+IF(G6=INT(G6),0,IF(G6-INT(G6)&lt;=0.5,0.5,1))</f>
        <v>18.5</v>
      </c>
      <c r="I6" s="2"/>
    </row>
    <row r="7" spans="1:9" ht="13.5" thickTop="1">
      <c r="A7" s="2"/>
      <c r="B7" s="14"/>
      <c r="C7" s="15"/>
      <c r="D7" s="15"/>
      <c r="E7" s="44"/>
      <c r="F7" s="15"/>
      <c r="G7" s="15"/>
      <c r="H7" s="16"/>
      <c r="I7" s="2"/>
    </row>
    <row r="8" spans="1:9" ht="20.25">
      <c r="A8" s="2"/>
      <c r="B8" s="10" t="s">
        <v>72</v>
      </c>
      <c r="C8" s="11"/>
      <c r="D8" s="11"/>
      <c r="E8" s="11"/>
      <c r="F8" s="11"/>
      <c r="G8" s="11"/>
      <c r="H8" s="12"/>
      <c r="I8" s="2"/>
    </row>
    <row r="9" spans="1:9" ht="63.75" customHeight="1">
      <c r="A9" s="2"/>
      <c r="B9" s="7"/>
      <c r="C9" s="8" t="s">
        <v>2</v>
      </c>
      <c r="D9" s="9" t="s">
        <v>32</v>
      </c>
      <c r="E9" s="8" t="s">
        <v>58</v>
      </c>
      <c r="F9" s="8" t="s">
        <v>59</v>
      </c>
      <c r="G9" s="9" t="s">
        <v>33</v>
      </c>
      <c r="H9" s="8" t="s">
        <v>60</v>
      </c>
      <c r="I9" s="2"/>
    </row>
    <row r="10" spans="1:9" ht="12.75">
      <c r="A10" s="2"/>
      <c r="B10" s="22" t="s">
        <v>8</v>
      </c>
      <c r="C10" s="22">
        <f aca="true" t="shared" si="0" ref="C10:H10">IF($H$4&lt;=3,0,($H$4-$D$11)*C13*1.2*1.1)+$F$11*1.2*1.1+$C$5*0.008*1.1</f>
        <v>212520</v>
      </c>
      <c r="D10" s="22">
        <f t="shared" si="0"/>
        <v>154176.00000000003</v>
      </c>
      <c r="E10" s="22">
        <f t="shared" si="0"/>
        <v>208032</v>
      </c>
      <c r="F10" s="22">
        <f t="shared" si="0"/>
        <v>288816.00000000006</v>
      </c>
      <c r="G10" s="22">
        <f t="shared" si="0"/>
        <v>234960.00000000003</v>
      </c>
      <c r="H10" s="22">
        <f t="shared" si="0"/>
        <v>257400.00000000003</v>
      </c>
      <c r="I10" s="2"/>
    </row>
    <row r="11" spans="1:9" ht="12.75">
      <c r="A11" s="2"/>
      <c r="B11" s="27"/>
      <c r="C11" s="27" t="s">
        <v>14</v>
      </c>
      <c r="D11" s="27">
        <v>3</v>
      </c>
      <c r="E11" s="27" t="s">
        <v>1</v>
      </c>
      <c r="F11" s="28">
        <v>38600</v>
      </c>
      <c r="G11" s="28" t="s">
        <v>15</v>
      </c>
      <c r="H11" s="28"/>
      <c r="I11" s="2"/>
    </row>
    <row r="12" spans="1:9" ht="12.75">
      <c r="A12" s="2"/>
      <c r="B12" s="30" t="s">
        <v>0</v>
      </c>
      <c r="C12" s="30">
        <v>1</v>
      </c>
      <c r="D12" s="30">
        <v>2</v>
      </c>
      <c r="E12" s="30">
        <v>3</v>
      </c>
      <c r="F12" s="30">
        <v>4</v>
      </c>
      <c r="G12" s="30">
        <v>5</v>
      </c>
      <c r="H12" s="30">
        <v>6</v>
      </c>
      <c r="I12" s="2"/>
    </row>
    <row r="13" spans="1:9" ht="12.75">
      <c r="A13" s="2"/>
      <c r="B13" s="30" t="s">
        <v>30</v>
      </c>
      <c r="C13" s="29">
        <v>3600</v>
      </c>
      <c r="D13" s="29">
        <v>2300</v>
      </c>
      <c r="E13" s="29">
        <v>3500</v>
      </c>
      <c r="F13" s="29">
        <v>5300</v>
      </c>
      <c r="G13" s="29">
        <v>4100</v>
      </c>
      <c r="H13" s="29">
        <v>4600</v>
      </c>
      <c r="I13" s="2"/>
    </row>
    <row r="14" spans="1:9" ht="20.25">
      <c r="A14" s="2"/>
      <c r="B14" s="10" t="s">
        <v>4</v>
      </c>
      <c r="C14" s="13" t="s">
        <v>9</v>
      </c>
      <c r="D14" s="13" t="s">
        <v>10</v>
      </c>
      <c r="E14" s="13" t="s">
        <v>11</v>
      </c>
      <c r="F14" s="13" t="s">
        <v>12</v>
      </c>
      <c r="G14" s="13" t="s">
        <v>13</v>
      </c>
      <c r="H14" s="12"/>
      <c r="I14" s="2"/>
    </row>
    <row r="15" spans="1:9" ht="38.25">
      <c r="A15" s="2"/>
      <c r="B15" s="3"/>
      <c r="C15" s="6" t="s">
        <v>34</v>
      </c>
      <c r="D15" s="5" t="s">
        <v>5</v>
      </c>
      <c r="E15" s="5" t="s">
        <v>6</v>
      </c>
      <c r="F15" s="5" t="s">
        <v>7</v>
      </c>
      <c r="G15" s="6" t="s">
        <v>35</v>
      </c>
      <c r="H15" s="4"/>
      <c r="I15" s="2"/>
    </row>
    <row r="16" spans="1:9" ht="12.75">
      <c r="A16" s="2"/>
      <c r="B16" s="22" t="s">
        <v>8</v>
      </c>
      <c r="C16" s="22">
        <f>IF($H$5&lt;=5,0,($H$5-$D$17)*C19*1.2*1.1)+$F$17*1.2*1.1+$C$5*0.008*1.1</f>
        <v>208560.00000000003</v>
      </c>
      <c r="D16" s="22">
        <f>IF($H$5&lt;=5,0,($H$5-$D$17)*D19*1.2*1.1)+$F$17*1.2*1.1+$C$5*0.008*1.1</f>
        <v>248160</v>
      </c>
      <c r="E16" s="22">
        <f>IF($H$5&lt;=5,0,($H$5-$D$17)*E19*1.2*1.1)+$F$17*1.2*1.1+$C$5*0.008*1.1</f>
        <v>256080</v>
      </c>
      <c r="F16" s="22">
        <f>IF($H$5&lt;=5,0,($H$5-$D$17)*F19*1.2*1.1)+$F$17*1.2*1.1+$C$5*0.008*1.1</f>
        <v>266640</v>
      </c>
      <c r="G16" s="22">
        <f>IF($H$5&lt;=5,0,($H$5-$D$17)*G19*1.2*1.1)+$F$17*1.2*1.1+$C$5*0.008*1.1</f>
        <v>274560</v>
      </c>
      <c r="H16" s="22"/>
      <c r="I16" s="2"/>
    </row>
    <row r="17" spans="1:9" ht="12.75">
      <c r="A17" s="2"/>
      <c r="B17" s="27"/>
      <c r="C17" s="27" t="s">
        <v>14</v>
      </c>
      <c r="D17" s="27">
        <v>5</v>
      </c>
      <c r="E17" s="27" t="s">
        <v>1</v>
      </c>
      <c r="F17" s="28">
        <v>78000</v>
      </c>
      <c r="G17" s="28" t="s">
        <v>15</v>
      </c>
      <c r="H17" s="28"/>
      <c r="I17" s="2"/>
    </row>
    <row r="18" spans="1:9" ht="12.75">
      <c r="A18" s="2"/>
      <c r="B18" s="30" t="s">
        <v>0</v>
      </c>
      <c r="C18" s="30">
        <v>1</v>
      </c>
      <c r="D18" s="30">
        <v>2</v>
      </c>
      <c r="E18" s="30">
        <v>3</v>
      </c>
      <c r="F18" s="30">
        <v>4</v>
      </c>
      <c r="G18" s="30">
        <v>5</v>
      </c>
      <c r="H18" s="30"/>
      <c r="I18" s="2"/>
    </row>
    <row r="19" spans="1:9" ht="12.75">
      <c r="A19" s="2"/>
      <c r="B19" s="30" t="s">
        <v>30</v>
      </c>
      <c r="C19" s="29">
        <v>4000</v>
      </c>
      <c r="D19" s="29">
        <v>5500</v>
      </c>
      <c r="E19" s="29">
        <v>5800</v>
      </c>
      <c r="F19" s="29">
        <v>6200</v>
      </c>
      <c r="G19" s="29">
        <v>6500</v>
      </c>
      <c r="H19" s="29"/>
      <c r="I19" s="2"/>
    </row>
    <row r="20" spans="1:9" ht="20.25">
      <c r="A20" s="2"/>
      <c r="B20" s="10" t="s">
        <v>16</v>
      </c>
      <c r="C20" s="13"/>
      <c r="D20" s="13"/>
      <c r="E20" s="13"/>
      <c r="F20" s="21"/>
      <c r="G20" s="33"/>
      <c r="H20" s="33"/>
      <c r="I20" s="2"/>
    </row>
    <row r="21" spans="1:9" ht="12.75">
      <c r="A21" s="2"/>
      <c r="B21" s="3"/>
      <c r="C21" s="26" t="s">
        <v>46</v>
      </c>
      <c r="D21" s="26" t="s">
        <v>47</v>
      </c>
      <c r="E21" s="26" t="s">
        <v>19</v>
      </c>
      <c r="F21" s="26" t="s">
        <v>48</v>
      </c>
      <c r="G21" s="33"/>
      <c r="H21" s="33"/>
      <c r="I21" s="2"/>
    </row>
    <row r="22" spans="1:9" ht="12.75">
      <c r="A22" s="2"/>
      <c r="B22" s="19" t="s">
        <v>21</v>
      </c>
      <c r="C22" s="20">
        <f aca="true" t="shared" si="1" ref="C22:F28">C31*1.2*1.1+$C$5*0.008*1.1</f>
        <v>10560</v>
      </c>
      <c r="D22" s="20">
        <f t="shared" si="1"/>
        <v>10560</v>
      </c>
      <c r="E22" s="20">
        <f t="shared" si="1"/>
        <v>11220</v>
      </c>
      <c r="F22" s="20">
        <f t="shared" si="1"/>
        <v>13200.000000000002</v>
      </c>
      <c r="G22" s="33"/>
      <c r="H22" s="33"/>
      <c r="I22" s="2"/>
    </row>
    <row r="23" spans="1:9" ht="12.75">
      <c r="A23" s="2"/>
      <c r="B23" s="19" t="s">
        <v>23</v>
      </c>
      <c r="C23" s="20">
        <f t="shared" si="1"/>
        <v>10560</v>
      </c>
      <c r="D23" s="20">
        <f t="shared" si="1"/>
        <v>15576.000000000002</v>
      </c>
      <c r="E23" s="20">
        <f t="shared" si="1"/>
        <v>16500</v>
      </c>
      <c r="F23" s="20">
        <f t="shared" si="1"/>
        <v>18480</v>
      </c>
      <c r="G23" s="33"/>
      <c r="H23" s="33"/>
      <c r="I23" s="2"/>
    </row>
    <row r="24" spans="1:9" ht="12.75">
      <c r="A24" s="2"/>
      <c r="B24" s="19" t="s">
        <v>24</v>
      </c>
      <c r="C24" s="20">
        <f t="shared" si="1"/>
        <v>13200.000000000002</v>
      </c>
      <c r="D24" s="20">
        <f t="shared" si="1"/>
        <v>21780</v>
      </c>
      <c r="E24" s="20">
        <f t="shared" si="1"/>
        <v>24024.000000000004</v>
      </c>
      <c r="F24" s="20">
        <f t="shared" si="1"/>
        <v>30360.000000000004</v>
      </c>
      <c r="G24" s="33"/>
      <c r="H24" s="33"/>
      <c r="I24" s="2"/>
    </row>
    <row r="25" spans="1:9" ht="12.75">
      <c r="A25" s="2"/>
      <c r="B25" s="19" t="s">
        <v>25</v>
      </c>
      <c r="C25" s="20">
        <f t="shared" si="1"/>
        <v>16500</v>
      </c>
      <c r="D25" s="20">
        <f t="shared" si="1"/>
        <v>31548.000000000004</v>
      </c>
      <c r="E25" s="20">
        <f t="shared" si="1"/>
        <v>33396</v>
      </c>
      <c r="F25" s="20">
        <f t="shared" si="1"/>
        <v>39468</v>
      </c>
      <c r="G25" s="33"/>
      <c r="H25" s="33"/>
      <c r="I25" s="2"/>
    </row>
    <row r="26" spans="1:9" ht="12.75">
      <c r="A26" s="2"/>
      <c r="B26" s="19" t="s">
        <v>26</v>
      </c>
      <c r="C26" s="20">
        <f t="shared" si="1"/>
        <v>21120</v>
      </c>
      <c r="D26" s="20">
        <f t="shared" si="1"/>
        <v>43824</v>
      </c>
      <c r="E26" s="20">
        <f t="shared" si="1"/>
        <v>44880</v>
      </c>
      <c r="F26" s="20">
        <f t="shared" si="1"/>
        <v>57684.00000000001</v>
      </c>
      <c r="G26" s="33"/>
      <c r="H26" s="33"/>
      <c r="I26" s="2"/>
    </row>
    <row r="27" spans="1:9" ht="12.75">
      <c r="A27" s="2"/>
      <c r="B27" s="19" t="s">
        <v>28</v>
      </c>
      <c r="C27" s="20">
        <f t="shared" si="1"/>
        <v>25080.000000000004</v>
      </c>
      <c r="D27" s="20">
        <f t="shared" si="1"/>
        <v>52800.00000000001</v>
      </c>
      <c r="E27" s="20">
        <f t="shared" si="1"/>
        <v>55176.00000000001</v>
      </c>
      <c r="F27" s="20">
        <f t="shared" si="1"/>
        <v>74448</v>
      </c>
      <c r="G27" s="33"/>
      <c r="H27" s="33"/>
      <c r="I27" s="2"/>
    </row>
    <row r="28" spans="1:9" ht="12.75">
      <c r="A28" s="2"/>
      <c r="B28" s="19" t="s">
        <v>27</v>
      </c>
      <c r="C28" s="20">
        <f t="shared" si="1"/>
        <v>27720.000000000004</v>
      </c>
      <c r="D28" s="20">
        <f t="shared" si="1"/>
        <v>63888.00000000001</v>
      </c>
      <c r="E28" s="20">
        <f t="shared" si="1"/>
        <v>68244</v>
      </c>
      <c r="F28" s="20">
        <f t="shared" si="1"/>
        <v>90420.00000000001</v>
      </c>
      <c r="G28" s="33"/>
      <c r="H28" s="33"/>
      <c r="I28" s="2"/>
    </row>
    <row r="29" spans="1:9" ht="12.75">
      <c r="A29" s="2"/>
      <c r="B29" s="19" t="s">
        <v>36</v>
      </c>
      <c r="C29" s="22">
        <f>IF($H$6&lt;=2,0,(INT($H$6-2)*2+IF(ROUND($H$6-INT($H$6),0)=0,1,2))*C38*1.2*1.1+C28+$C$5*0.008*1.1)</f>
        <v>104016</v>
      </c>
      <c r="D29" s="22">
        <f>IF($H$6&lt;=2,0,(INT($H$6-2)*2+IF(ROUND($H$6-INT($H$6),0)=0,1,2))*D38*1.2*1.1+D28+$C$5*0.008*1.1)</f>
        <v>220968</v>
      </c>
      <c r="E29" s="22">
        <f>IF($H$6&lt;=2,0,(INT($H$6-2)*2+IF(ROUND($H$6-INT($H$6),0)=0,1,2))*E38*1.2*1.1+E28+$C$5*0.008*1.1)</f>
        <v>261228.00000000003</v>
      </c>
      <c r="F29" s="22">
        <f>IF($H$6&lt;=2,0,(INT($H$6-2)*2+IF(ROUND($H$6-INT($H$6),0)=0,1,2))*F38*1.2*1.1+F28+$C$5*0.008*1.1)</f>
        <v>471900.00000000006</v>
      </c>
      <c r="G29" s="33"/>
      <c r="H29" s="33"/>
      <c r="I29" s="2"/>
    </row>
    <row r="30" spans="1:9" ht="12.75">
      <c r="A30" s="2"/>
      <c r="B30" s="23" t="s">
        <v>29</v>
      </c>
      <c r="C30" s="23" t="s">
        <v>17</v>
      </c>
      <c r="D30" s="23" t="s">
        <v>18</v>
      </c>
      <c r="E30" s="23" t="s">
        <v>19</v>
      </c>
      <c r="F30" s="23" t="s">
        <v>20</v>
      </c>
      <c r="G30" s="33"/>
      <c r="H30" s="33"/>
      <c r="I30" s="2"/>
    </row>
    <row r="31" spans="1:9" ht="12.75">
      <c r="A31" s="2"/>
      <c r="B31" s="24" t="s">
        <v>21</v>
      </c>
      <c r="C31" s="25">
        <v>8000</v>
      </c>
      <c r="D31" s="25">
        <v>8000</v>
      </c>
      <c r="E31" s="25">
        <v>8500</v>
      </c>
      <c r="F31" s="25">
        <v>10000</v>
      </c>
      <c r="G31" s="33"/>
      <c r="H31" s="33"/>
      <c r="I31" s="2"/>
    </row>
    <row r="32" spans="1:9" ht="12.75">
      <c r="A32" s="2"/>
      <c r="B32" s="24" t="s">
        <v>23</v>
      </c>
      <c r="C32" s="25">
        <v>8000</v>
      </c>
      <c r="D32" s="25">
        <v>11800</v>
      </c>
      <c r="E32" s="25">
        <v>12500</v>
      </c>
      <c r="F32" s="25">
        <v>14000</v>
      </c>
      <c r="G32" s="33"/>
      <c r="H32" s="33"/>
      <c r="I32" s="2"/>
    </row>
    <row r="33" spans="1:9" ht="12.75">
      <c r="A33" s="2"/>
      <c r="B33" s="24" t="s">
        <v>24</v>
      </c>
      <c r="C33" s="25">
        <v>10000</v>
      </c>
      <c r="D33" s="25">
        <v>16500</v>
      </c>
      <c r="E33" s="25">
        <v>18200</v>
      </c>
      <c r="F33" s="25">
        <v>23000</v>
      </c>
      <c r="G33" s="33"/>
      <c r="H33" s="33"/>
      <c r="I33" s="2"/>
    </row>
    <row r="34" spans="1:9" ht="12.75">
      <c r="A34" s="2"/>
      <c r="B34" s="24" t="s">
        <v>25</v>
      </c>
      <c r="C34" s="25">
        <v>12500</v>
      </c>
      <c r="D34" s="25">
        <v>23900</v>
      </c>
      <c r="E34" s="25">
        <v>25300</v>
      </c>
      <c r="F34" s="25">
        <v>29900</v>
      </c>
      <c r="G34" s="33"/>
      <c r="H34" s="33"/>
      <c r="I34" s="2"/>
    </row>
    <row r="35" spans="1:9" ht="12.75">
      <c r="A35" s="2"/>
      <c r="B35" s="24" t="s">
        <v>26</v>
      </c>
      <c r="C35" s="25">
        <v>16000</v>
      </c>
      <c r="D35" s="25">
        <v>33200</v>
      </c>
      <c r="E35" s="25">
        <v>34000</v>
      </c>
      <c r="F35" s="25">
        <v>43700</v>
      </c>
      <c r="G35" s="33"/>
      <c r="H35" s="33"/>
      <c r="I35" s="2"/>
    </row>
    <row r="36" spans="1:9" ht="12.75">
      <c r="A36" s="2"/>
      <c r="B36" s="24" t="s">
        <v>28</v>
      </c>
      <c r="C36" s="25">
        <v>19000</v>
      </c>
      <c r="D36" s="25">
        <v>40000</v>
      </c>
      <c r="E36" s="25">
        <v>41800</v>
      </c>
      <c r="F36" s="25">
        <v>56400</v>
      </c>
      <c r="G36" s="33"/>
      <c r="H36" s="33"/>
      <c r="I36" s="2"/>
    </row>
    <row r="37" spans="1:9" ht="12.75">
      <c r="A37" s="2"/>
      <c r="B37" s="24" t="s">
        <v>27</v>
      </c>
      <c r="C37" s="25">
        <v>21000</v>
      </c>
      <c r="D37" s="25">
        <v>48400</v>
      </c>
      <c r="E37" s="25">
        <v>51700</v>
      </c>
      <c r="F37" s="25">
        <v>68500</v>
      </c>
      <c r="G37" s="33"/>
      <c r="H37" s="33"/>
      <c r="I37" s="2"/>
    </row>
    <row r="38" spans="1:9" ht="12.75">
      <c r="A38" s="2"/>
      <c r="B38" s="24" t="s">
        <v>22</v>
      </c>
      <c r="C38" s="25">
        <v>1700</v>
      </c>
      <c r="D38" s="25">
        <v>3500</v>
      </c>
      <c r="E38" s="25">
        <v>4300</v>
      </c>
      <c r="F38" s="25">
        <v>8500</v>
      </c>
      <c r="G38" s="33"/>
      <c r="H38" s="33"/>
      <c r="I38" s="2"/>
    </row>
    <row r="39" spans="1:9" ht="12.75">
      <c r="A39" s="2"/>
      <c r="B39" s="17"/>
      <c r="C39" s="17"/>
      <c r="D39" s="17"/>
      <c r="E39" s="17"/>
      <c r="F39" s="17"/>
      <c r="G39" s="33"/>
      <c r="H39" s="33"/>
      <c r="I39" s="2"/>
    </row>
    <row r="40" spans="1:9" ht="20.25">
      <c r="A40" s="2"/>
      <c r="B40" s="10" t="s">
        <v>61</v>
      </c>
      <c r="C40" s="48" t="s">
        <v>62</v>
      </c>
      <c r="D40" s="48" t="s">
        <v>67</v>
      </c>
      <c r="E40" s="48" t="s">
        <v>63</v>
      </c>
      <c r="F40" s="48" t="s">
        <v>64</v>
      </c>
      <c r="G40" s="48" t="s">
        <v>65</v>
      </c>
      <c r="H40" s="48" t="s">
        <v>66</v>
      </c>
      <c r="I40" s="2"/>
    </row>
    <row r="41" spans="1:9" ht="38.25">
      <c r="A41" s="2"/>
      <c r="B41" s="7"/>
      <c r="C41" s="8" t="s">
        <v>51</v>
      </c>
      <c r="D41" s="9" t="s">
        <v>52</v>
      </c>
      <c r="E41" s="8" t="s">
        <v>53</v>
      </c>
      <c r="F41" s="8" t="s">
        <v>54</v>
      </c>
      <c r="G41" s="9" t="s">
        <v>55</v>
      </c>
      <c r="H41" s="8" t="s">
        <v>56</v>
      </c>
      <c r="I41" s="2"/>
    </row>
    <row r="42" spans="1:9" ht="12.75">
      <c r="A42" s="2"/>
      <c r="B42" s="22" t="s">
        <v>8</v>
      </c>
      <c r="C42" s="22">
        <f aca="true" t="shared" si="2" ref="C42:H42">$H$4*C43*1.2*1.1</f>
        <v>92796.00000000001</v>
      </c>
      <c r="D42" s="22">
        <f t="shared" si="2"/>
        <v>102564.00000000001</v>
      </c>
      <c r="E42" s="22">
        <f t="shared" si="2"/>
        <v>117216.00000000001</v>
      </c>
      <c r="F42" s="22">
        <f t="shared" si="2"/>
        <v>131868</v>
      </c>
      <c r="G42" s="22">
        <f t="shared" si="2"/>
        <v>156288</v>
      </c>
      <c r="H42" s="22">
        <f t="shared" si="2"/>
        <v>175824</v>
      </c>
      <c r="I42" s="2"/>
    </row>
    <row r="43" spans="1:9" ht="12.75">
      <c r="A43" s="2"/>
      <c r="B43" s="14"/>
      <c r="C43" s="29">
        <v>1900</v>
      </c>
      <c r="D43" s="29">
        <v>2100</v>
      </c>
      <c r="E43" s="29">
        <v>2400</v>
      </c>
      <c r="F43" s="29">
        <v>2700</v>
      </c>
      <c r="G43" s="29">
        <v>3200</v>
      </c>
      <c r="H43" s="29">
        <v>3600</v>
      </c>
      <c r="I43" s="2"/>
    </row>
    <row r="44" spans="3:6" ht="12.75">
      <c r="C44" s="18"/>
      <c r="D44" s="18"/>
      <c r="E44" s="18"/>
      <c r="F44" s="18"/>
    </row>
  </sheetData>
  <mergeCells count="1">
    <mergeCell ref="B3:C3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1.421875" style="0" customWidth="1"/>
    <col min="2" max="2" width="15.8515625" style="0" customWidth="1"/>
    <col min="3" max="3" width="28.57421875" style="0" customWidth="1"/>
    <col min="4" max="4" width="31.421875" style="0" customWidth="1"/>
    <col min="5" max="5" width="20.140625" style="0" customWidth="1"/>
    <col min="6" max="6" width="20.00390625" style="0" customWidth="1"/>
    <col min="7" max="7" width="21.7109375" style="0" customWidth="1"/>
    <col min="8" max="8" width="16.28125" style="0" customWidth="1"/>
    <col min="9" max="9" width="1.7109375" style="0" customWidth="1"/>
    <col min="10" max="10" width="5.00390625" style="49" bestFit="1" customWidth="1"/>
    <col min="11" max="11" width="11.8515625" style="49" bestFit="1" customWidth="1"/>
    <col min="12" max="12" width="8.7109375" style="49" bestFit="1" customWidth="1"/>
    <col min="13" max="13" width="10.8515625" style="49" bestFit="1" customWidth="1"/>
    <col min="14" max="14" width="11.421875" style="0" bestFit="1" customWidth="1"/>
  </cols>
  <sheetData>
    <row r="1" spans="2:14" ht="15" customHeight="1">
      <c r="B1" s="63" t="s">
        <v>85</v>
      </c>
      <c r="C1" s="64">
        <v>1.15</v>
      </c>
      <c r="D1" s="69" t="s">
        <v>95</v>
      </c>
      <c r="E1" s="69">
        <f>F1+G1+H1</f>
        <v>0</v>
      </c>
      <c r="J1" s="50" t="s">
        <v>68</v>
      </c>
      <c r="K1" s="50" t="s">
        <v>69</v>
      </c>
      <c r="L1" s="50" t="s">
        <v>70</v>
      </c>
      <c r="M1" s="50" t="s">
        <v>71</v>
      </c>
      <c r="N1" s="78" t="s">
        <v>74</v>
      </c>
    </row>
    <row r="2" spans="1:9" ht="7.5" customHeight="1">
      <c r="A2" s="2"/>
      <c r="B2" s="2"/>
      <c r="C2" s="2"/>
      <c r="D2" s="2"/>
      <c r="E2" s="2"/>
      <c r="F2" s="2"/>
      <c r="G2" s="2"/>
      <c r="H2" s="2"/>
      <c r="I2" s="2"/>
    </row>
    <row r="3" spans="1:14" ht="13.5" thickBot="1">
      <c r="A3" s="2"/>
      <c r="B3" s="81" t="s">
        <v>97</v>
      </c>
      <c r="C3" s="82"/>
      <c r="D3" s="41" t="s">
        <v>43</v>
      </c>
      <c r="E3" s="51">
        <v>32</v>
      </c>
      <c r="F3" s="37" t="s">
        <v>42</v>
      </c>
      <c r="G3" s="32">
        <f>E3*E4*E5*E6</f>
        <v>46080</v>
      </c>
      <c r="H3" s="31" t="s">
        <v>50</v>
      </c>
      <c r="I3" s="2"/>
      <c r="J3" s="51">
        <v>32</v>
      </c>
      <c r="K3" s="50">
        <v>39</v>
      </c>
      <c r="L3" s="50">
        <v>61</v>
      </c>
      <c r="M3" s="50">
        <v>20</v>
      </c>
      <c r="N3" s="78">
        <v>50</v>
      </c>
    </row>
    <row r="4" spans="1:14" ht="13.5" thickTop="1">
      <c r="A4" s="2"/>
      <c r="B4" s="35" t="s">
        <v>37</v>
      </c>
      <c r="C4" s="39"/>
      <c r="D4" s="42" t="s">
        <v>44</v>
      </c>
      <c r="E4" s="51">
        <v>20</v>
      </c>
      <c r="F4" s="37" t="s">
        <v>57</v>
      </c>
      <c r="G4" s="68">
        <f>IF($C$4&gt;0,$C$4,$G$3/3000)</f>
        <v>15.36</v>
      </c>
      <c r="H4" s="31">
        <f>INT(G4)+IF(G4=INT(G4),0,1)</f>
        <v>16</v>
      </c>
      <c r="I4" s="2"/>
      <c r="J4" s="51">
        <v>20</v>
      </c>
      <c r="K4" s="50">
        <v>20</v>
      </c>
      <c r="L4" s="50">
        <v>44</v>
      </c>
      <c r="M4" s="50">
        <v>30</v>
      </c>
      <c r="N4" s="78">
        <v>31</v>
      </c>
    </row>
    <row r="5" spans="1:14" ht="13.5" thickBot="1">
      <c r="A5" s="2"/>
      <c r="B5" s="36" t="s">
        <v>3</v>
      </c>
      <c r="C5" s="40"/>
      <c r="D5" s="42" t="s">
        <v>45</v>
      </c>
      <c r="E5" s="51">
        <v>24</v>
      </c>
      <c r="F5" s="37" t="s">
        <v>40</v>
      </c>
      <c r="G5" s="68">
        <f>IF($C$4&gt;0,$C$4,$G$3/4500)</f>
        <v>10.24</v>
      </c>
      <c r="H5" s="31">
        <f>INT(G5)+IF(G5=INT(G5),0,1)</f>
        <v>11</v>
      </c>
      <c r="I5" s="2"/>
      <c r="J5" s="51">
        <v>24</v>
      </c>
      <c r="K5" s="50">
        <v>22</v>
      </c>
      <c r="L5" s="50">
        <v>23</v>
      </c>
      <c r="M5" s="50">
        <v>35</v>
      </c>
      <c r="N5" s="78">
        <v>12</v>
      </c>
    </row>
    <row r="6" spans="1:9" ht="14.25" thickBot="1" thickTop="1">
      <c r="A6" s="2"/>
      <c r="B6" s="1" t="s">
        <v>96</v>
      </c>
      <c r="C6" s="73">
        <f>IF(C5=0,0,IF(C5*0.008*1.1&lt;20000,20000,C5*0.008*1.1))</f>
        <v>0</v>
      </c>
      <c r="D6" s="43" t="s">
        <v>38</v>
      </c>
      <c r="E6" s="47">
        <v>3</v>
      </c>
      <c r="F6" s="37" t="s">
        <v>41</v>
      </c>
      <c r="G6" s="68">
        <f>IF($C$4&gt;0,$C$4,$G$3/6000)</f>
        <v>7.68</v>
      </c>
      <c r="H6" s="31">
        <f>INT(G6)+IF(G6=INT(G6),0,IF(G6-INT(G6)&lt;=0.5,0.5,1))</f>
        <v>8</v>
      </c>
      <c r="I6" s="2"/>
    </row>
    <row r="7" spans="1:16" ht="7.5" customHeight="1" thickTop="1">
      <c r="A7" s="2"/>
      <c r="B7" s="14"/>
      <c r="C7" s="15"/>
      <c r="D7" s="15"/>
      <c r="E7" s="44"/>
      <c r="F7" s="15"/>
      <c r="G7" s="15"/>
      <c r="H7" s="16"/>
      <c r="I7" s="2"/>
      <c r="L7" s="52"/>
      <c r="M7" s="52"/>
      <c r="N7" s="52"/>
      <c r="O7" s="52"/>
      <c r="P7" s="52"/>
    </row>
    <row r="8" spans="1:9" ht="18" customHeight="1" thickBot="1">
      <c r="A8" s="2"/>
      <c r="B8" s="10" t="s">
        <v>72</v>
      </c>
      <c r="C8" s="11"/>
      <c r="D8" s="11"/>
      <c r="E8" s="11"/>
      <c r="F8" s="11"/>
      <c r="G8" s="11"/>
      <c r="H8" s="12"/>
      <c r="I8" s="2"/>
    </row>
    <row r="9" spans="1:15" ht="104.25" customHeight="1">
      <c r="A9" s="2"/>
      <c r="B9" s="7"/>
      <c r="C9" s="8" t="s">
        <v>2</v>
      </c>
      <c r="D9" s="9" t="s">
        <v>32</v>
      </c>
      <c r="E9" s="8" t="s">
        <v>58</v>
      </c>
      <c r="F9" s="8" t="s">
        <v>59</v>
      </c>
      <c r="G9" s="9" t="s">
        <v>33</v>
      </c>
      <c r="H9" s="8" t="s">
        <v>60</v>
      </c>
      <c r="I9" s="2"/>
      <c r="K9" s="85" t="s">
        <v>75</v>
      </c>
      <c r="L9" s="86"/>
      <c r="M9" s="86"/>
      <c r="N9" s="86"/>
      <c r="O9" s="87"/>
    </row>
    <row r="10" spans="1:15" ht="12.75">
      <c r="A10" s="2"/>
      <c r="B10" s="22" t="s">
        <v>8</v>
      </c>
      <c r="C10" s="22">
        <f aca="true" t="shared" si="0" ref="C10:H10">IF($H$4&lt;=3,$F$11*$C$1*1.1,(($H$4-3)*C13+$F$11)*$C$1*1.1)+$C$6</f>
        <v>108030.99999999999</v>
      </c>
      <c r="D10" s="22">
        <f t="shared" si="0"/>
        <v>86652.5</v>
      </c>
      <c r="E10" s="22">
        <f t="shared" si="0"/>
        <v>106386.49999999999</v>
      </c>
      <c r="F10" s="22">
        <f t="shared" si="0"/>
        <v>135987.5</v>
      </c>
      <c r="G10" s="22">
        <f t="shared" si="0"/>
        <v>116253.5</v>
      </c>
      <c r="H10" s="22">
        <f t="shared" si="0"/>
        <v>124476</v>
      </c>
      <c r="I10" s="2"/>
      <c r="K10" s="53" t="s">
        <v>8</v>
      </c>
      <c r="L10" s="22">
        <f>SUM(O12:O15)*1.1*$C$1</f>
        <v>25299.999999999996</v>
      </c>
      <c r="M10" s="88" t="s">
        <v>88</v>
      </c>
      <c r="N10" s="89"/>
      <c r="O10" s="90"/>
    </row>
    <row r="11" spans="1:15" ht="10.5" customHeight="1">
      <c r="A11" s="2"/>
      <c r="B11" s="27"/>
      <c r="C11" s="27" t="s">
        <v>14</v>
      </c>
      <c r="D11" s="27">
        <v>3</v>
      </c>
      <c r="E11" s="27" t="s">
        <v>1</v>
      </c>
      <c r="F11" s="28">
        <v>38600</v>
      </c>
      <c r="G11" s="28" t="s">
        <v>15</v>
      </c>
      <c r="H11" s="28"/>
      <c r="I11" s="2"/>
      <c r="K11" s="83" t="s">
        <v>79</v>
      </c>
      <c r="L11" s="84"/>
      <c r="M11" s="30" t="s">
        <v>76</v>
      </c>
      <c r="N11" s="55" t="s">
        <v>77</v>
      </c>
      <c r="O11" s="59" t="s">
        <v>78</v>
      </c>
    </row>
    <row r="12" spans="1:15" ht="10.5" customHeight="1">
      <c r="A12" s="2"/>
      <c r="B12" s="30" t="s">
        <v>0</v>
      </c>
      <c r="C12" s="30">
        <v>1</v>
      </c>
      <c r="D12" s="30">
        <v>2</v>
      </c>
      <c r="E12" s="30">
        <v>3</v>
      </c>
      <c r="F12" s="30">
        <v>4</v>
      </c>
      <c r="G12" s="30">
        <v>5</v>
      </c>
      <c r="H12" s="30">
        <v>6</v>
      </c>
      <c r="I12" s="2"/>
      <c r="K12" s="54" t="s">
        <v>80</v>
      </c>
      <c r="L12" s="54">
        <v>2</v>
      </c>
      <c r="M12" s="30">
        <v>20000</v>
      </c>
      <c r="N12" s="55"/>
      <c r="O12" s="60">
        <f>IF($C$4&lt;L12,M12,0)</f>
        <v>20000</v>
      </c>
    </row>
    <row r="13" spans="1:15" ht="10.5" customHeight="1">
      <c r="A13" s="2"/>
      <c r="B13" s="30" t="s">
        <v>30</v>
      </c>
      <c r="C13" s="29">
        <v>3600</v>
      </c>
      <c r="D13" s="29">
        <v>2300</v>
      </c>
      <c r="E13" s="29">
        <v>3500</v>
      </c>
      <c r="F13" s="29">
        <v>5300</v>
      </c>
      <c r="G13" s="29">
        <v>4100</v>
      </c>
      <c r="H13" s="29">
        <v>4600</v>
      </c>
      <c r="I13" s="2"/>
      <c r="K13" s="54" t="s">
        <v>81</v>
      </c>
      <c r="L13" s="54">
        <v>10</v>
      </c>
      <c r="M13" s="30">
        <f>M12+N13*(L13-L12)</f>
        <v>44000</v>
      </c>
      <c r="N13" s="55">
        <v>3000</v>
      </c>
      <c r="O13" s="60">
        <f>IF(AND($C$4&gt;L12,$C$4&lt;L13),M12+N13*($C$4-L12),0)</f>
        <v>0</v>
      </c>
    </row>
    <row r="14" spans="1:15" ht="20.25">
      <c r="A14" s="2"/>
      <c r="B14" s="10" t="s">
        <v>4</v>
      </c>
      <c r="C14" s="13" t="s">
        <v>9</v>
      </c>
      <c r="D14" s="13" t="s">
        <v>10</v>
      </c>
      <c r="E14" s="13" t="s">
        <v>11</v>
      </c>
      <c r="F14" s="13" t="s">
        <v>12</v>
      </c>
      <c r="G14" s="13" t="s">
        <v>13</v>
      </c>
      <c r="H14" s="12"/>
      <c r="I14" s="2"/>
      <c r="K14" s="54" t="s">
        <v>82</v>
      </c>
      <c r="L14" s="54">
        <v>100</v>
      </c>
      <c r="M14" s="30">
        <f>M13+N14*(L14-L13)</f>
        <v>224000</v>
      </c>
      <c r="N14" s="55">
        <v>2000</v>
      </c>
      <c r="O14" s="60">
        <f>IF(AND($C$4&gt;L13,$C$4&lt;L14),M13+N14*($C$4-L13),0)</f>
        <v>0</v>
      </c>
    </row>
    <row r="15" spans="1:15" ht="29.25" customHeight="1" thickBot="1">
      <c r="A15" s="2"/>
      <c r="B15" s="3"/>
      <c r="C15" s="6" t="s">
        <v>34</v>
      </c>
      <c r="D15" s="5" t="s">
        <v>5</v>
      </c>
      <c r="E15" s="5" t="s">
        <v>6</v>
      </c>
      <c r="F15" s="5" t="s">
        <v>7</v>
      </c>
      <c r="G15" s="6" t="s">
        <v>35</v>
      </c>
      <c r="H15" s="4"/>
      <c r="I15" s="2"/>
      <c r="K15" s="56" t="s">
        <v>83</v>
      </c>
      <c r="L15" s="56">
        <v>300</v>
      </c>
      <c r="M15" s="58">
        <f>M14+N15*(L15-L14)</f>
        <v>524000</v>
      </c>
      <c r="N15" s="57">
        <v>1500</v>
      </c>
      <c r="O15" s="61">
        <f>IF(AND($C$4&gt;L14,$C$4&lt;L15),M14+N15*($C$4-L14),0)</f>
        <v>0</v>
      </c>
    </row>
    <row r="16" spans="1:9" ht="12.75">
      <c r="A16" s="2"/>
      <c r="B16" s="22" t="s">
        <v>8</v>
      </c>
      <c r="C16" s="22">
        <f>IF($H$5&lt;=5,$F$17*$C$1*1.1,(($H$5-5)*C19+$F$17)*$C$1*1.1)+$C$6</f>
        <v>129030</v>
      </c>
      <c r="D16" s="22">
        <f>IF($H$5&lt;=5,$F$17*$C$1*1.1,(($H$5-5)*D19+$F$17)*$C$1*1.1)+$C$6</f>
        <v>140415</v>
      </c>
      <c r="E16" s="22">
        <f>IF($H$5&lt;=5,$F$17*$C$1*1.1,(($H$5-5)*E19+$F$17)*$C$1*1.1)+$C$6</f>
        <v>142692</v>
      </c>
      <c r="F16" s="22">
        <f>IF($H$5&lt;=5,$F$17*$C$1*1.1,(($H$5-5)*F19+$F$17)*$C$1*1.1)+$C$6</f>
        <v>145728</v>
      </c>
      <c r="G16" s="22">
        <f>IF($H$5&lt;=5,$F$17*$C$1*1.1,(($H$5-5)*G19+$F$17)*$C$1*1.1)+$C$6</f>
        <v>148005</v>
      </c>
      <c r="H16" s="22"/>
      <c r="I16" s="2"/>
    </row>
    <row r="17" spans="1:11" ht="10.5" customHeight="1">
      <c r="A17" s="2"/>
      <c r="B17" s="74"/>
      <c r="C17" s="74" t="s">
        <v>14</v>
      </c>
      <c r="D17" s="74">
        <v>5</v>
      </c>
      <c r="E17" s="74" t="s">
        <v>1</v>
      </c>
      <c r="F17" s="75">
        <v>78000</v>
      </c>
      <c r="G17" s="75" t="s">
        <v>15</v>
      </c>
      <c r="H17" s="28"/>
      <c r="I17" s="2"/>
      <c r="K17" s="65"/>
    </row>
    <row r="18" spans="1:9" ht="10.5" customHeight="1">
      <c r="A18" s="2"/>
      <c r="B18" s="76" t="s">
        <v>0</v>
      </c>
      <c r="C18" s="76">
        <v>1</v>
      </c>
      <c r="D18" s="76">
        <v>2</v>
      </c>
      <c r="E18" s="76">
        <v>3</v>
      </c>
      <c r="F18" s="76">
        <v>4</v>
      </c>
      <c r="G18" s="76">
        <v>5</v>
      </c>
      <c r="H18" s="30"/>
      <c r="I18" s="2"/>
    </row>
    <row r="19" spans="1:9" ht="10.5" customHeight="1">
      <c r="A19" s="2"/>
      <c r="B19" s="76" t="s">
        <v>30</v>
      </c>
      <c r="C19" s="77">
        <v>4000</v>
      </c>
      <c r="D19" s="77">
        <v>5500</v>
      </c>
      <c r="E19" s="77">
        <v>5800</v>
      </c>
      <c r="F19" s="77">
        <v>6200</v>
      </c>
      <c r="G19" s="77">
        <v>6500</v>
      </c>
      <c r="H19" s="28"/>
      <c r="I19" s="2"/>
    </row>
    <row r="20" spans="1:9" ht="20.25">
      <c r="A20" s="2"/>
      <c r="B20" s="10" t="s">
        <v>16</v>
      </c>
      <c r="C20" s="62" t="s">
        <v>84</v>
      </c>
      <c r="D20" s="13"/>
      <c r="E20" s="13"/>
      <c r="F20" s="21"/>
      <c r="G20" s="70"/>
      <c r="H20" s="66" t="s">
        <v>87</v>
      </c>
      <c r="I20" s="2"/>
    </row>
    <row r="21" spans="1:9" ht="12.75">
      <c r="A21" s="2"/>
      <c r="B21" s="3"/>
      <c r="C21" s="26" t="s">
        <v>46</v>
      </c>
      <c r="D21" s="26" t="s">
        <v>47</v>
      </c>
      <c r="E21" s="26" t="s">
        <v>19</v>
      </c>
      <c r="F21" s="26" t="s">
        <v>48</v>
      </c>
      <c r="G21" s="70"/>
      <c r="H21" s="67" t="s">
        <v>86</v>
      </c>
      <c r="I21" s="2"/>
    </row>
    <row r="22" spans="1:9" ht="12.75">
      <c r="A22" s="2"/>
      <c r="B22" s="19" t="s">
        <v>21</v>
      </c>
      <c r="C22" s="20">
        <f aca="true" t="shared" si="1" ref="C22:F26">C31*$C$1*1.1+$C$6</f>
        <v>10120</v>
      </c>
      <c r="D22" s="20">
        <f t="shared" si="1"/>
        <v>10120</v>
      </c>
      <c r="E22" s="20">
        <f t="shared" si="1"/>
        <v>10752.5</v>
      </c>
      <c r="F22" s="20">
        <f t="shared" si="1"/>
        <v>12650.000000000002</v>
      </c>
      <c r="G22" s="70" t="s">
        <v>89</v>
      </c>
      <c r="H22" s="71">
        <f>D10</f>
        <v>86652.5</v>
      </c>
      <c r="I22" s="2"/>
    </row>
    <row r="23" spans="1:9" ht="12.75">
      <c r="A23" s="2"/>
      <c r="B23" s="19" t="s">
        <v>23</v>
      </c>
      <c r="C23" s="20">
        <f t="shared" si="1"/>
        <v>10120</v>
      </c>
      <c r="D23" s="20">
        <f t="shared" si="1"/>
        <v>14927</v>
      </c>
      <c r="E23" s="20">
        <f t="shared" si="1"/>
        <v>15812.5</v>
      </c>
      <c r="F23" s="20">
        <f t="shared" si="1"/>
        <v>17710</v>
      </c>
      <c r="G23" s="70" t="s">
        <v>91</v>
      </c>
      <c r="H23" s="20">
        <f>L10</f>
        <v>25299.999999999996</v>
      </c>
      <c r="I23" s="2"/>
    </row>
    <row r="24" spans="1:9" ht="12.75">
      <c r="A24" s="2"/>
      <c r="B24" s="19" t="s">
        <v>24</v>
      </c>
      <c r="C24" s="20">
        <f t="shared" si="1"/>
        <v>12650.000000000002</v>
      </c>
      <c r="D24" s="20">
        <f t="shared" si="1"/>
        <v>20872.5</v>
      </c>
      <c r="E24" s="20">
        <f t="shared" si="1"/>
        <v>23023.000000000004</v>
      </c>
      <c r="F24" s="20">
        <f t="shared" si="1"/>
        <v>29095</v>
      </c>
      <c r="G24" s="70" t="s">
        <v>90</v>
      </c>
      <c r="H24" s="22">
        <f>H22+H23</f>
        <v>111952.5</v>
      </c>
      <c r="I24" s="2"/>
    </row>
    <row r="25" spans="1:9" ht="12.75">
      <c r="A25" s="2"/>
      <c r="B25" s="19" t="s">
        <v>25</v>
      </c>
      <c r="C25" s="20">
        <f t="shared" si="1"/>
        <v>15812.5</v>
      </c>
      <c r="D25" s="20">
        <f t="shared" si="1"/>
        <v>30233.5</v>
      </c>
      <c r="E25" s="20">
        <f t="shared" si="1"/>
        <v>32004.5</v>
      </c>
      <c r="F25" s="20">
        <f t="shared" si="1"/>
        <v>37823.5</v>
      </c>
      <c r="G25" s="70"/>
      <c r="H25" s="70"/>
      <c r="I25" s="2"/>
    </row>
    <row r="26" spans="1:9" ht="12.75">
      <c r="A26" s="2"/>
      <c r="B26" s="19" t="s">
        <v>26</v>
      </c>
      <c r="C26" s="20">
        <f t="shared" si="1"/>
        <v>20240</v>
      </c>
      <c r="D26" s="20">
        <f t="shared" si="1"/>
        <v>41998</v>
      </c>
      <c r="E26" s="20">
        <f t="shared" si="1"/>
        <v>43010</v>
      </c>
      <c r="F26" s="20">
        <f t="shared" si="1"/>
        <v>55280.5</v>
      </c>
      <c r="G26" s="70"/>
      <c r="H26" s="26" t="s">
        <v>94</v>
      </c>
      <c r="I26" s="2"/>
    </row>
    <row r="27" spans="1:9" ht="12.75">
      <c r="A27" s="2"/>
      <c r="B27" s="19" t="s">
        <v>28</v>
      </c>
      <c r="C27" s="20">
        <f aca="true" t="shared" si="2" ref="C27:F28">C36*$C$1*1.1+$C$6</f>
        <v>24035.000000000004</v>
      </c>
      <c r="D27" s="20">
        <f t="shared" si="2"/>
        <v>50600.00000000001</v>
      </c>
      <c r="E27" s="20">
        <f t="shared" si="2"/>
        <v>52876.99999999999</v>
      </c>
      <c r="F27" s="20">
        <f t="shared" si="2"/>
        <v>71346</v>
      </c>
      <c r="G27" s="70" t="s">
        <v>92</v>
      </c>
      <c r="H27" s="71">
        <f>E25</f>
        <v>32004.5</v>
      </c>
      <c r="I27" s="2"/>
    </row>
    <row r="28" spans="1:9" ht="12.75">
      <c r="A28" s="2"/>
      <c r="B28" s="19" t="s">
        <v>27</v>
      </c>
      <c r="C28" s="20">
        <f t="shared" si="2"/>
        <v>26564.999999999996</v>
      </c>
      <c r="D28" s="20">
        <f t="shared" si="2"/>
        <v>61226</v>
      </c>
      <c r="E28" s="20">
        <f t="shared" si="2"/>
        <v>65400.5</v>
      </c>
      <c r="F28" s="20">
        <f t="shared" si="2"/>
        <v>86652.5</v>
      </c>
      <c r="G28" s="70" t="s">
        <v>93</v>
      </c>
      <c r="H28" s="72">
        <f>H27/5</f>
        <v>6400.9</v>
      </c>
      <c r="I28" s="2"/>
    </row>
    <row r="29" spans="1:9" ht="12.75">
      <c r="A29" s="2"/>
      <c r="B29" s="19" t="s">
        <v>36</v>
      </c>
      <c r="C29" s="22">
        <f>IF($H$6&lt;=2,0,INT(($H$6-2)*2)*C38*$C$1*1.1+C28)</f>
        <v>52371</v>
      </c>
      <c r="D29" s="22">
        <f>IF($H$6&lt;=2,0,INT(($H$6-2)*2)*D38*$C$1*1.1+D28)</f>
        <v>114356</v>
      </c>
      <c r="E29" s="22">
        <f>IF($H$6&lt;=2,0,INT(($H$6-2)*2)*E38*$C$1*1.1+E28)</f>
        <v>130674.5</v>
      </c>
      <c r="F29" s="22">
        <f>IF($H$6&lt;=2,0,INT(($H$6-2)*2)*F38*$C$1*1.1+F28)</f>
        <v>215682.5</v>
      </c>
      <c r="G29" s="70" t="s">
        <v>90</v>
      </c>
      <c r="H29" s="22">
        <f>H27+H28</f>
        <v>38405.4</v>
      </c>
      <c r="I29" s="2"/>
    </row>
    <row r="30" spans="1:9" ht="12.75">
      <c r="A30" s="2"/>
      <c r="B30" s="23" t="s">
        <v>29</v>
      </c>
      <c r="C30" s="23" t="s">
        <v>17</v>
      </c>
      <c r="D30" s="23" t="s">
        <v>18</v>
      </c>
      <c r="E30" s="23" t="s">
        <v>19</v>
      </c>
      <c r="F30" s="23" t="s">
        <v>20</v>
      </c>
      <c r="G30" s="33"/>
      <c r="H30" s="33"/>
      <c r="I30" s="2"/>
    </row>
    <row r="31" spans="1:9" ht="12.75">
      <c r="A31" s="2"/>
      <c r="B31" s="24" t="s">
        <v>21</v>
      </c>
      <c r="C31" s="25">
        <v>8000</v>
      </c>
      <c r="D31" s="25">
        <v>8000</v>
      </c>
      <c r="E31" s="25">
        <v>8500</v>
      </c>
      <c r="F31" s="25">
        <v>10000</v>
      </c>
      <c r="G31" s="33"/>
      <c r="H31" s="33"/>
      <c r="I31" s="2"/>
    </row>
    <row r="32" spans="1:9" ht="12.75">
      <c r="A32" s="2"/>
      <c r="B32" s="24" t="s">
        <v>23</v>
      </c>
      <c r="C32" s="25">
        <v>8000</v>
      </c>
      <c r="D32" s="25">
        <v>11800</v>
      </c>
      <c r="E32" s="25">
        <v>12500</v>
      </c>
      <c r="F32" s="25">
        <v>14000</v>
      </c>
      <c r="G32" s="33"/>
      <c r="H32" s="33"/>
      <c r="I32" s="2"/>
    </row>
    <row r="33" spans="1:9" ht="12.75">
      <c r="A33" s="2"/>
      <c r="B33" s="24" t="s">
        <v>24</v>
      </c>
      <c r="C33" s="25">
        <v>10000</v>
      </c>
      <c r="D33" s="25">
        <v>16500</v>
      </c>
      <c r="E33" s="25">
        <v>18200</v>
      </c>
      <c r="F33" s="25">
        <v>23000</v>
      </c>
      <c r="G33" s="33"/>
      <c r="H33" s="33"/>
      <c r="I33" s="2"/>
    </row>
    <row r="34" spans="1:9" ht="12.75">
      <c r="A34" s="2"/>
      <c r="B34" s="24" t="s">
        <v>25</v>
      </c>
      <c r="C34" s="25">
        <v>12500</v>
      </c>
      <c r="D34" s="25">
        <v>23900</v>
      </c>
      <c r="E34" s="25">
        <v>25300</v>
      </c>
      <c r="F34" s="25">
        <v>29900</v>
      </c>
      <c r="G34" s="33"/>
      <c r="H34" s="33"/>
      <c r="I34" s="2"/>
    </row>
    <row r="35" spans="1:9" ht="12.75">
      <c r="A35" s="2"/>
      <c r="B35" s="24" t="s">
        <v>26</v>
      </c>
      <c r="C35" s="25">
        <v>16000</v>
      </c>
      <c r="D35" s="25">
        <v>33200</v>
      </c>
      <c r="E35" s="25">
        <v>34000</v>
      </c>
      <c r="F35" s="25">
        <v>43700</v>
      </c>
      <c r="G35" s="33"/>
      <c r="H35" s="33"/>
      <c r="I35" s="2"/>
    </row>
    <row r="36" spans="1:9" ht="12.75">
      <c r="A36" s="2"/>
      <c r="B36" s="24" t="s">
        <v>28</v>
      </c>
      <c r="C36" s="25">
        <v>19000</v>
      </c>
      <c r="D36" s="25">
        <v>40000</v>
      </c>
      <c r="E36" s="25">
        <v>41800</v>
      </c>
      <c r="F36" s="25">
        <v>56400</v>
      </c>
      <c r="G36" s="33"/>
      <c r="H36" s="33"/>
      <c r="I36" s="2"/>
    </row>
    <row r="37" spans="1:9" ht="12.75">
      <c r="A37" s="2"/>
      <c r="B37" s="24" t="s">
        <v>27</v>
      </c>
      <c r="C37" s="25">
        <v>21000</v>
      </c>
      <c r="D37" s="25">
        <v>48400</v>
      </c>
      <c r="E37" s="25">
        <v>51700</v>
      </c>
      <c r="F37" s="25">
        <v>68500</v>
      </c>
      <c r="G37" s="33"/>
      <c r="H37" s="33"/>
      <c r="I37" s="2"/>
    </row>
    <row r="38" spans="1:9" ht="12.75">
      <c r="A38" s="2"/>
      <c r="B38" s="24" t="s">
        <v>22</v>
      </c>
      <c r="C38" s="25">
        <v>1700</v>
      </c>
      <c r="D38" s="25">
        <v>3500</v>
      </c>
      <c r="E38" s="25">
        <v>4300</v>
      </c>
      <c r="F38" s="25">
        <v>8500</v>
      </c>
      <c r="G38" s="33"/>
      <c r="H38" s="33"/>
      <c r="I38" s="2"/>
    </row>
    <row r="39" spans="1:9" ht="12.75">
      <c r="A39" s="2"/>
      <c r="B39" s="17"/>
      <c r="C39" s="17"/>
      <c r="D39" s="17"/>
      <c r="E39" s="17"/>
      <c r="F39" s="17"/>
      <c r="G39" s="33"/>
      <c r="H39" s="33"/>
      <c r="I39" s="2"/>
    </row>
    <row r="40" spans="1:9" ht="20.25">
      <c r="A40" s="2"/>
      <c r="B40" s="10" t="s">
        <v>61</v>
      </c>
      <c r="C40" s="48" t="s">
        <v>62</v>
      </c>
      <c r="D40" s="48" t="s">
        <v>67</v>
      </c>
      <c r="E40" s="48" t="s">
        <v>63</v>
      </c>
      <c r="F40" s="48" t="s">
        <v>64</v>
      </c>
      <c r="G40" s="48" t="s">
        <v>65</v>
      </c>
      <c r="H40" s="48" t="s">
        <v>66</v>
      </c>
      <c r="I40" s="2"/>
    </row>
    <row r="41" spans="1:9" ht="38.25">
      <c r="A41" s="2"/>
      <c r="B41" s="7"/>
      <c r="C41" s="8" t="s">
        <v>51</v>
      </c>
      <c r="D41" s="9" t="s">
        <v>52</v>
      </c>
      <c r="E41" s="8" t="s">
        <v>53</v>
      </c>
      <c r="F41" s="8" t="s">
        <v>54</v>
      </c>
      <c r="G41" s="9" t="s">
        <v>55</v>
      </c>
      <c r="H41" s="8" t="s">
        <v>56</v>
      </c>
      <c r="I41" s="2"/>
    </row>
    <row r="42" spans="1:9" ht="12.75">
      <c r="A42" s="2"/>
      <c r="B42" s="22" t="s">
        <v>8</v>
      </c>
      <c r="C42" s="22">
        <f aca="true" t="shared" si="3" ref="C42:H42">$H$4*C43*1.1*$C$1+$C$6</f>
        <v>38456</v>
      </c>
      <c r="D42" s="22">
        <f t="shared" si="3"/>
        <v>42504</v>
      </c>
      <c r="E42" s="22">
        <f t="shared" si="3"/>
        <v>48575.99999999999</v>
      </c>
      <c r="F42" s="22">
        <f t="shared" si="3"/>
        <v>54648.00000000001</v>
      </c>
      <c r="G42" s="22">
        <f t="shared" si="3"/>
        <v>64768</v>
      </c>
      <c r="H42" s="22">
        <f t="shared" si="3"/>
        <v>72864</v>
      </c>
      <c r="I42" s="2"/>
    </row>
    <row r="43" spans="1:9" ht="12.75">
      <c r="A43" s="2"/>
      <c r="B43" s="14"/>
      <c r="C43" s="29">
        <v>1900</v>
      </c>
      <c r="D43" s="29">
        <v>2100</v>
      </c>
      <c r="E43" s="29">
        <v>2400</v>
      </c>
      <c r="F43" s="29">
        <v>2700</v>
      </c>
      <c r="G43" s="29">
        <v>3200</v>
      </c>
      <c r="H43" s="29">
        <v>3600</v>
      </c>
      <c r="I43" s="2"/>
    </row>
    <row r="44" spans="3:6" ht="12.75">
      <c r="C44" s="18"/>
      <c r="D44" s="18"/>
      <c r="E44" s="18"/>
      <c r="F44" s="18"/>
    </row>
  </sheetData>
  <mergeCells count="4">
    <mergeCell ref="B3:C3"/>
    <mergeCell ref="K11:L11"/>
    <mergeCell ref="K9:O9"/>
    <mergeCell ref="M10:O1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vnGP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 Manh Cuong</dc:creator>
  <cp:keywords/>
  <dc:description/>
  <cp:lastModifiedBy>H2h</cp:lastModifiedBy>
  <dcterms:created xsi:type="dcterms:W3CDTF">2015-04-06T05:21:03Z</dcterms:created>
  <dcterms:modified xsi:type="dcterms:W3CDTF">2015-10-19T00:36:37Z</dcterms:modified>
  <cp:category/>
  <cp:version/>
  <cp:contentType/>
  <cp:contentStatus/>
</cp:coreProperties>
</file>